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Ngo Thi Kim Phuong\PHƯƠNG 2024\DỰ ÁN ODA\CÁC BÁO CÁO VỐN ODA\Báo cáo nợ chính quyền ĐP theo NĐ 93-2018\"/>
    </mc:Choice>
  </mc:AlternateContent>
  <bookViews>
    <workbookView xWindow="240" yWindow="60" windowWidth="19320" windowHeight="7935"/>
  </bookViews>
  <sheets>
    <sheet name="PL III-NĐ 93" sheetId="4" r:id="rId1"/>
    <sheet name="1.01" sheetId="1" r:id="rId2"/>
    <sheet name="1.02" sheetId="2" r:id="rId3"/>
    <sheet name="Sheet1" sheetId="5" r:id="rId4"/>
    <sheet name="Sheet2" sheetId="6" r:id="rId5"/>
    <sheet name="PLII-ND93" sheetId="3" state="hidden" r:id="rId6"/>
  </sheets>
  <calcPr calcId="162913"/>
</workbook>
</file>

<file path=xl/calcChain.xml><?xml version="1.0" encoding="utf-8"?>
<calcChain xmlns="http://schemas.openxmlformats.org/spreadsheetml/2006/main">
  <c r="I10" i="6" l="1"/>
  <c r="L23" i="6"/>
  <c r="J20" i="6"/>
  <c r="H20" i="6"/>
  <c r="F20" i="6"/>
  <c r="M19" i="6"/>
  <c r="K19" i="6"/>
  <c r="I19" i="6"/>
  <c r="G19" i="6"/>
  <c r="Y18" i="6"/>
  <c r="X18" i="6"/>
  <c r="W18" i="6"/>
  <c r="V18" i="6"/>
  <c r="U18" i="6"/>
  <c r="O18" i="6"/>
  <c r="M18" i="6"/>
  <c r="I18" i="6"/>
  <c r="Y17" i="6"/>
  <c r="X17" i="6"/>
  <c r="W17" i="6"/>
  <c r="V17" i="6"/>
  <c r="U17" i="6"/>
  <c r="T15" i="6"/>
  <c r="S15" i="6"/>
  <c r="R15" i="6"/>
  <c r="Q15" i="6"/>
  <c r="T14" i="6"/>
  <c r="S14" i="6"/>
  <c r="R14" i="6"/>
  <c r="Q14" i="6"/>
  <c r="P13" i="6"/>
  <c r="P20" i="6" s="1"/>
  <c r="O13" i="6"/>
  <c r="O17" i="6" s="1"/>
  <c r="N13" i="6"/>
  <c r="R13" i="6" s="1"/>
  <c r="M13" i="6"/>
  <c r="M17" i="6" s="1"/>
  <c r="H13" i="6"/>
  <c r="G13" i="6"/>
  <c r="F13" i="6"/>
  <c r="T13" i="6" s="1"/>
  <c r="E13" i="6"/>
  <c r="S13" i="6" s="1"/>
  <c r="R12" i="6"/>
  <c r="O12" i="6"/>
  <c r="O19" i="6" s="1"/>
  <c r="H12" i="6"/>
  <c r="T12" i="6" s="1"/>
  <c r="E12" i="6"/>
  <c r="E19" i="6" s="1"/>
  <c r="T11" i="6"/>
  <c r="Q11" i="6"/>
  <c r="Q18" i="6" s="1"/>
  <c r="N11" i="6"/>
  <c r="L11" i="6" s="1"/>
  <c r="R11" i="6" s="1"/>
  <c r="K11" i="6"/>
  <c r="K18" i="6" s="1"/>
  <c r="G11" i="6"/>
  <c r="G18" i="6" s="1"/>
  <c r="E11" i="6"/>
  <c r="S11" i="6" s="1"/>
  <c r="S18" i="6" s="1"/>
  <c r="T10" i="6"/>
  <c r="S10" i="6"/>
  <c r="R10" i="6"/>
  <c r="Q10" i="6"/>
  <c r="H10" i="6"/>
  <c r="G10" i="6"/>
  <c r="G17" i="6" s="1"/>
  <c r="L9" i="6"/>
  <c r="K9" i="6"/>
  <c r="K17" i="6" s="1"/>
  <c r="J9" i="6"/>
  <c r="T9" i="6" s="1"/>
  <c r="I9" i="6"/>
  <c r="I17" i="6" s="1"/>
  <c r="F9" i="6"/>
  <c r="E9" i="6"/>
  <c r="S9" i="6" s="1"/>
  <c r="T20" i="6" l="1"/>
  <c r="L20" i="6"/>
  <c r="S17" i="6"/>
  <c r="Q12" i="6"/>
  <c r="Q19" i="6" s="1"/>
  <c r="E18" i="6"/>
  <c r="E17" i="6"/>
  <c r="Q9" i="6"/>
  <c r="R9" i="6"/>
  <c r="R20" i="6" s="1"/>
  <c r="S12" i="6"/>
  <c r="S19" i="6" s="1"/>
  <c r="N20" i="6"/>
  <c r="Q13" i="6"/>
  <c r="Q17" i="6" l="1"/>
  <c r="L22" i="6"/>
  <c r="L24" i="6" s="1"/>
  <c r="H10" i="4" l="1"/>
  <c r="G10" i="4"/>
  <c r="L22" i="1" l="1"/>
  <c r="N13" i="1"/>
  <c r="I16" i="4" l="1"/>
  <c r="I17" i="4"/>
  <c r="I18" i="4"/>
  <c r="I20" i="4"/>
  <c r="I21" i="4"/>
  <c r="I15" i="4"/>
  <c r="Q14" i="1"/>
  <c r="Q15" i="1"/>
  <c r="R14" i="1"/>
  <c r="R15" i="1"/>
  <c r="R9" i="1"/>
  <c r="T9" i="1"/>
  <c r="Q13" i="1"/>
  <c r="Q9" i="1"/>
  <c r="L23" i="1"/>
  <c r="H19" i="2" l="1"/>
  <c r="G19" i="2"/>
  <c r="H17" i="2"/>
  <c r="G17" i="2"/>
  <c r="J21" i="4"/>
  <c r="F21" i="4"/>
  <c r="J20" i="4"/>
  <c r="F20" i="4"/>
  <c r="J19" i="4"/>
  <c r="F19" i="4"/>
  <c r="I19" i="4" s="1"/>
  <c r="I14" i="4" s="1"/>
  <c r="J18" i="4"/>
  <c r="F18" i="4"/>
  <c r="J17" i="4"/>
  <c r="F17" i="4"/>
  <c r="J16" i="4"/>
  <c r="F16" i="4"/>
  <c r="J15" i="4"/>
  <c r="F15" i="4"/>
  <c r="H14" i="4"/>
  <c r="G14" i="4"/>
  <c r="E14" i="4"/>
  <c r="D14" i="4"/>
  <c r="D10" i="4" s="1"/>
  <c r="C14" i="4"/>
  <c r="E10" i="4"/>
  <c r="C10" i="4"/>
  <c r="F14" i="4" l="1"/>
  <c r="F10" i="4" s="1"/>
  <c r="J14" i="4"/>
  <c r="J10" i="4" s="1"/>
  <c r="I10" i="4"/>
  <c r="D12" i="2"/>
  <c r="C12" i="2"/>
  <c r="F18" i="2"/>
  <c r="F17" i="2" s="1"/>
  <c r="D18" i="2"/>
  <c r="D17" i="2" s="1"/>
  <c r="C18" i="2"/>
  <c r="C17" i="2" s="1"/>
  <c r="T15" i="1"/>
  <c r="F12" i="2" s="1"/>
  <c r="S15" i="1"/>
  <c r="E12" i="2" s="1"/>
  <c r="T14" i="1"/>
  <c r="S14" i="1"/>
  <c r="E18" i="2" s="1"/>
  <c r="E17" i="2" s="1"/>
  <c r="U17" i="1"/>
  <c r="V17" i="1"/>
  <c r="W17" i="1"/>
  <c r="X17" i="1"/>
  <c r="U18" i="1"/>
  <c r="V18" i="1"/>
  <c r="W18" i="1"/>
  <c r="X18" i="1"/>
  <c r="G13" i="1" l="1"/>
  <c r="E13" i="1"/>
  <c r="F13" i="1" l="1"/>
  <c r="H13" i="1"/>
  <c r="G11" i="1" l="1"/>
  <c r="P13" i="1" l="1"/>
  <c r="P20" i="1" s="1"/>
  <c r="O13" i="1"/>
  <c r="O17" i="1" s="1"/>
  <c r="M13" i="1"/>
  <c r="M17" i="1" s="1"/>
  <c r="T13" i="1"/>
  <c r="R13" i="1" l="1"/>
  <c r="R20" i="1" s="1"/>
  <c r="L9" i="1"/>
  <c r="K9" i="1"/>
  <c r="K17" i="1" s="1"/>
  <c r="J9" i="1"/>
  <c r="I9" i="1"/>
  <c r="F9" i="1"/>
  <c r="F20" i="1" s="1"/>
  <c r="E9" i="1"/>
  <c r="E17" i="1" s="1"/>
  <c r="J20" i="1" l="1"/>
  <c r="S9" i="1"/>
  <c r="R10" i="1"/>
  <c r="I10" i="1"/>
  <c r="Q10" i="1" s="1"/>
  <c r="H10" i="1"/>
  <c r="G10" i="1"/>
  <c r="G17" i="1" s="1"/>
  <c r="T10" i="1" l="1"/>
  <c r="Q17" i="1"/>
  <c r="I17" i="1"/>
  <c r="S10" i="1"/>
  <c r="O12" i="1"/>
  <c r="H12" i="1" l="1"/>
  <c r="H20" i="1" s="1"/>
  <c r="K11" i="1" l="1"/>
  <c r="N11" i="1" l="1"/>
  <c r="L11" i="1" l="1"/>
  <c r="L20" i="1" s="1"/>
  <c r="N20" i="1"/>
  <c r="L24" i="1" s="1"/>
  <c r="R11" i="1"/>
  <c r="E11" i="1" l="1"/>
  <c r="E18" i="1" s="1"/>
  <c r="F18" i="3"/>
  <c r="F16" i="3"/>
  <c r="E18" i="3"/>
  <c r="D18" i="3"/>
  <c r="C18" i="3"/>
  <c r="H18" i="3" l="1"/>
  <c r="G18" i="3"/>
  <c r="H9" i="2" l="1"/>
  <c r="G9" i="2"/>
  <c r="D11" i="2"/>
  <c r="Y17" i="1"/>
  <c r="F11" i="2"/>
  <c r="F15" i="3" l="1"/>
  <c r="E15" i="3"/>
  <c r="S11" i="1"/>
  <c r="O19" i="1"/>
  <c r="O18" i="1"/>
  <c r="M19" i="1"/>
  <c r="K19" i="1"/>
  <c r="K18" i="1"/>
  <c r="I19" i="1"/>
  <c r="I18" i="1"/>
  <c r="Q12" i="1"/>
  <c r="Q19" i="1" s="1"/>
  <c r="R12" i="1"/>
  <c r="G15" i="3" l="1"/>
  <c r="E12" i="1" l="1"/>
  <c r="S12" i="1" s="1"/>
  <c r="S19" i="1" s="1"/>
  <c r="T11" i="1"/>
  <c r="F14" i="3" l="1"/>
  <c r="E14" i="3"/>
  <c r="D14" i="3"/>
  <c r="C14" i="3" l="1"/>
  <c r="G14" i="3"/>
  <c r="H14" i="3" l="1"/>
  <c r="F17" i="3"/>
  <c r="D17" i="3"/>
  <c r="C17" i="3"/>
  <c r="D16" i="2"/>
  <c r="D15" i="2" s="1"/>
  <c r="C16" i="2"/>
  <c r="C15" i="2" s="1"/>
  <c r="H15" i="2"/>
  <c r="G15" i="2"/>
  <c r="E19" i="1"/>
  <c r="T12" i="1"/>
  <c r="T20" i="1" s="1"/>
  <c r="G19" i="1"/>
  <c r="G17" i="3" l="1"/>
  <c r="F13" i="3"/>
  <c r="H17" i="3"/>
  <c r="F16" i="2"/>
  <c r="F15" i="2" s="1"/>
  <c r="E16" i="2" l="1"/>
  <c r="E15" i="2" s="1"/>
  <c r="C10" i="2"/>
  <c r="C8" i="2"/>
  <c r="D16" i="3" l="1"/>
  <c r="E8" i="2" l="1"/>
  <c r="E16" i="3" l="1"/>
  <c r="E13" i="3" s="1"/>
  <c r="D15" i="3" l="1"/>
  <c r="D13" i="3" s="1"/>
  <c r="D10" i="2" l="1"/>
  <c r="D9" i="2" s="1"/>
  <c r="C15" i="3"/>
  <c r="E10" i="2"/>
  <c r="F10" i="2"/>
  <c r="F9" i="2" s="1"/>
  <c r="H15" i="3" l="1"/>
  <c r="C16" i="3"/>
  <c r="C13" i="3" s="1"/>
  <c r="C9" i="3" l="1"/>
  <c r="H16" i="3"/>
  <c r="H13" i="3" s="1"/>
  <c r="F14" i="2"/>
  <c r="D14" i="2"/>
  <c r="F8" i="2"/>
  <c r="D8" i="2"/>
  <c r="Y18" i="1"/>
  <c r="G16" i="3"/>
  <c r="G13" i="3" s="1"/>
  <c r="F9" i="3"/>
  <c r="E9" i="3"/>
  <c r="D9" i="3"/>
  <c r="G18" i="1"/>
  <c r="H9" i="3" l="1"/>
  <c r="G9" i="3"/>
  <c r="C14" i="2"/>
  <c r="S18" i="1"/>
  <c r="E14" i="2" l="1"/>
  <c r="E7" i="2" l="1"/>
  <c r="H13" i="2" l="1"/>
  <c r="D13" i="2"/>
  <c r="F13" i="2"/>
  <c r="C13" i="2"/>
  <c r="E13" i="2"/>
  <c r="G13" i="2"/>
  <c r="G7" i="2" l="1"/>
  <c r="H7" i="2"/>
  <c r="F7" i="2" l="1"/>
  <c r="F19" i="2" s="1"/>
  <c r="D7" i="2"/>
  <c r="D19" i="2" s="1"/>
  <c r="C7" i="2"/>
  <c r="C11" i="2"/>
  <c r="C9" i="2" s="1"/>
  <c r="S13" i="1" l="1"/>
  <c r="S17" i="1" s="1"/>
  <c r="E11" i="2" l="1"/>
  <c r="E9" i="2" s="1"/>
  <c r="M18" i="1"/>
  <c r="Q11" i="1"/>
  <c r="Q18" i="1" s="1"/>
</calcChain>
</file>

<file path=xl/comments1.xml><?xml version="1.0" encoding="utf-8"?>
<comments xmlns="http://schemas.openxmlformats.org/spreadsheetml/2006/main">
  <authors>
    <author>ngothikimphuong</author>
  </authors>
  <commentList>
    <comment ref="D19" authorId="0" shapeId="0">
      <text>
        <r>
          <rPr>
            <b/>
            <sz val="9"/>
            <color indexed="81"/>
            <rFont val="Tahoma"/>
            <family val="2"/>
          </rPr>
          <t>ngothikimphuong:</t>
        </r>
        <r>
          <rPr>
            <sz val="9"/>
            <color indexed="81"/>
            <rFont val="Tahoma"/>
            <family val="2"/>
          </rPr>
          <t xml:space="preserve">
năm 2023 giải ngân ghi thu ghi chi số rút vốn 2022 còn lại chưa ghi thu ghi chi trong năm 2022: 67.939.168.670đ (đã nhận nợ trong năm 2022)
</t>
        </r>
      </text>
    </comment>
  </commentList>
</comments>
</file>

<file path=xl/comments2.xml><?xml version="1.0" encoding="utf-8"?>
<comments xmlns="http://schemas.openxmlformats.org/spreadsheetml/2006/main">
  <authors>
    <author>Admin</author>
    <author>ngothikimphuong</author>
  </authors>
  <commentList>
    <comment ref="G11" authorId="0" shapeId="0">
      <text>
        <r>
          <rPr>
            <b/>
            <sz val="9"/>
            <color indexed="81"/>
            <rFont val="Tahoma"/>
            <family val="2"/>
          </rPr>
          <t>Admin:</t>
        </r>
        <r>
          <rPr>
            <sz val="9"/>
            <color indexed="81"/>
            <rFont val="Tahoma"/>
            <family val="2"/>
          </rPr>
          <t xml:space="preserve">
Trừ số ngoại tệ tương ứng với số tiền VND chuyển sang GTGC bằng KH 2024</t>
        </r>
      </text>
    </comment>
    <comment ref="M11" authorId="1" shapeId="0">
      <text>
        <r>
          <rPr>
            <b/>
            <sz val="9"/>
            <color indexed="81"/>
            <rFont val="Tahoma"/>
            <family val="2"/>
          </rPr>
          <t>ngothikimphuong:</t>
        </r>
        <r>
          <rPr>
            <sz val="9"/>
            <color indexed="81"/>
            <rFont val="Tahoma"/>
            <family val="2"/>
          </rPr>
          <t xml:space="preserve">
phí cam kết trả từ dự án-vốn đầu tư</t>
        </r>
      </text>
    </comment>
    <comment ref="N11" authorId="1" shapeId="0">
      <text>
        <r>
          <rPr>
            <b/>
            <sz val="9"/>
            <color indexed="81"/>
            <rFont val="Tahoma"/>
            <family val="2"/>
          </rPr>
          <t>ngothikimphuong:</t>
        </r>
        <r>
          <rPr>
            <sz val="9"/>
            <color indexed="81"/>
            <rFont val="Tahoma"/>
            <family val="2"/>
          </rPr>
          <t xml:space="preserve">
phí cam kết trả từ dự án-vốn đầu tư</t>
        </r>
      </text>
    </comment>
    <comment ref="F13" authorId="1" shapeId="0">
      <text>
        <r>
          <rPr>
            <b/>
            <sz val="9"/>
            <color indexed="81"/>
            <rFont val="Tahoma"/>
            <family val="2"/>
          </rPr>
          <t>ngothikimphuong:</t>
        </r>
        <r>
          <rPr>
            <sz val="9"/>
            <color indexed="81"/>
            <rFont val="Tahoma"/>
            <family val="2"/>
          </rPr>
          <t xml:space="preserve">
số kéo dài 2022 sang 2023: 67.939.168.670đ
</t>
        </r>
      </text>
    </comment>
  </commentList>
</comments>
</file>

<file path=xl/comments3.xml><?xml version="1.0" encoding="utf-8"?>
<comments xmlns="http://schemas.openxmlformats.org/spreadsheetml/2006/main">
  <authors>
    <author>Admin</author>
    <author>ngothikimphuong</author>
  </authors>
  <commentList>
    <comment ref="G11" authorId="0" shapeId="0">
      <text>
        <r>
          <rPr>
            <b/>
            <sz val="9"/>
            <color indexed="81"/>
            <rFont val="Tahoma"/>
            <family val="2"/>
          </rPr>
          <t>Admin:</t>
        </r>
        <r>
          <rPr>
            <sz val="9"/>
            <color indexed="81"/>
            <rFont val="Tahoma"/>
            <family val="2"/>
          </rPr>
          <t xml:space="preserve">
Trừ số ngoại tệ tương ứng với số tiền VND chuyển sang GTGC bằng KH 2024</t>
        </r>
      </text>
    </comment>
    <comment ref="M11" authorId="1" shapeId="0">
      <text>
        <r>
          <rPr>
            <b/>
            <sz val="9"/>
            <color indexed="81"/>
            <rFont val="Tahoma"/>
            <family val="2"/>
          </rPr>
          <t>ngothikimphuong:</t>
        </r>
        <r>
          <rPr>
            <sz val="9"/>
            <color indexed="81"/>
            <rFont val="Tahoma"/>
            <family val="2"/>
          </rPr>
          <t xml:space="preserve">
phí cam kết trả từ dự án-vốn đầu tư</t>
        </r>
      </text>
    </comment>
    <comment ref="N11" authorId="1" shapeId="0">
      <text>
        <r>
          <rPr>
            <b/>
            <sz val="9"/>
            <color indexed="81"/>
            <rFont val="Tahoma"/>
            <family val="2"/>
          </rPr>
          <t>ngothikimphuong:</t>
        </r>
        <r>
          <rPr>
            <sz val="9"/>
            <color indexed="81"/>
            <rFont val="Tahoma"/>
            <family val="2"/>
          </rPr>
          <t xml:space="preserve">
phí cam kết trả từ dự án-vốn đầu tư</t>
        </r>
      </text>
    </comment>
    <comment ref="F13" authorId="1" shapeId="0">
      <text>
        <r>
          <rPr>
            <b/>
            <sz val="9"/>
            <color indexed="81"/>
            <rFont val="Tahoma"/>
            <family val="2"/>
          </rPr>
          <t>ngothikimphuong:</t>
        </r>
        <r>
          <rPr>
            <sz val="9"/>
            <color indexed="81"/>
            <rFont val="Tahoma"/>
            <family val="2"/>
          </rPr>
          <t xml:space="preserve">
số kéo dài 2022 sang 2023: 67.939.168.670đ
</t>
        </r>
      </text>
    </comment>
  </commentList>
</comments>
</file>

<file path=xl/sharedStrings.xml><?xml version="1.0" encoding="utf-8"?>
<sst xmlns="http://schemas.openxmlformats.org/spreadsheetml/2006/main" count="237" uniqueCount="101">
  <si>
    <t>BÁO CÁO TÌNH HÌNH VAY LẠI VỐN VAY ODA, VAY ƯU ĐÃI NƯỚC NGOÀI CỦA CHÍNH PHỦ</t>
  </si>
  <si>
    <t>STT</t>
  </si>
  <si>
    <t>Nguồn vốn cho vay lại</t>
  </si>
  <si>
    <t>Nguyên tệ</t>
  </si>
  <si>
    <t>Gốc</t>
  </si>
  <si>
    <t>Lãi</t>
  </si>
  <si>
    <t>Phí theo HĐ vay</t>
  </si>
  <si>
    <t>Phí QLCVL</t>
  </si>
  <si>
    <t>Cộng</t>
  </si>
  <si>
    <t>Dư nợ cuối kỳ</t>
  </si>
  <si>
    <t>Nợ quá hạn</t>
  </si>
  <si>
    <t>Tên dự án/
Chương trình</t>
  </si>
  <si>
    <t>ĐTXD cầu dân sinh và quản lý tài sản đường địa phương (LRAMP)</t>
  </si>
  <si>
    <t>Tổng cộng</t>
  </si>
  <si>
    <t>Mẫu biểu số: 1.01</t>
  </si>
  <si>
    <t>Giám đốc</t>
  </si>
  <si>
    <t>Người lập biểu</t>
  </si>
  <si>
    <t xml:space="preserve">BÁO CÁO TÌNH HÌNH NỢ CỦA UBND TỈNH QUẢNG NAM THEO CHỦ NỢ </t>
  </si>
  <si>
    <t>TÊN CHỦ NỢ</t>
  </si>
  <si>
    <t>Dư nợ đầu kỳ</t>
  </si>
  <si>
    <t>Dư nợ quá hạn cuối kỳ quy VND</t>
  </si>
  <si>
    <t>I</t>
  </si>
  <si>
    <t>Trong đó, dư nợ quá hạn cuối kỳ</t>
  </si>
  <si>
    <t>Chủ nợ: WB-Hiệp hội phát triển quốc tế (IDA)</t>
  </si>
  <si>
    <t>Dự án Phát triển môi trường, hạ tầng đô thị để ứng phó với biến đổi khí hậu Tp. Hội An, tỉnh Quảng Nam</t>
  </si>
  <si>
    <t>II</t>
  </si>
  <si>
    <t>Chủ nợ: Ngân hàng Phát triển Châu Á (ADB)</t>
  </si>
  <si>
    <t>Dự án cải thiện môi trường đô thị Chu Lai, Núi Thành</t>
  </si>
  <si>
    <t>Ngân hàng 
Tái thiết Đức</t>
  </si>
  <si>
    <t>EUR</t>
  </si>
  <si>
    <t>III</t>
  </si>
  <si>
    <t>Chủ nợ: Ngân hàng Tái thiết Đức</t>
  </si>
  <si>
    <t>UBND TỈNH QUẢNG NAM</t>
  </si>
  <si>
    <t>Phụ lục II</t>
  </si>
  <si>
    <t>BQL DỰ ÁN ĐTXD CÁC CTGT</t>
  </si>
  <si>
    <t>(Kèm theo Nghị định số 93/2018/NĐ-CP 
ngày 30/6/2018 của Chính Phủ</t>
  </si>
  <si>
    <t>TT</t>
  </si>
  <si>
    <t>Nội dung</t>
  </si>
  <si>
    <t>Dư nợ đầu kỳ 
(ngày 01 tháng 01)</t>
  </si>
  <si>
    <t>Vay trong kỳ</t>
  </si>
  <si>
    <t>Trả nợ trong năm</t>
  </si>
  <si>
    <t>Lãi/phí</t>
  </si>
  <si>
    <t>Tổng</t>
  </si>
  <si>
    <t>a</t>
  </si>
  <si>
    <t>b</t>
  </si>
  <si>
    <t>6=1+2-3</t>
  </si>
  <si>
    <t>Tổng số :</t>
  </si>
  <si>
    <t>Vay phát hành trái phiếu chính quyền địa phương</t>
  </si>
  <si>
    <t>Tạm ứng ngân quỹ nhà nước</t>
  </si>
  <si>
    <t>Vay các tổ chức tài chính, tín dụng</t>
  </si>
  <si>
    <t>IV</t>
  </si>
  <si>
    <t>Vay lại vốn vay nước ngoài</t>
  </si>
  <si>
    <t>Cải thiện môi trường đô thị Chu Lai Núi Thành</t>
  </si>
  <si>
    <t>V</t>
  </si>
  <si>
    <t>Vay các tổ chức khác</t>
  </si>
  <si>
    <t>Nguyễn Thanh Tâm</t>
  </si>
  <si>
    <t>USD</t>
  </si>
  <si>
    <t>Nguyễn Văn Nguyên Vân</t>
  </si>
  <si>
    <t>VND</t>
  </si>
  <si>
    <t>1</t>
  </si>
  <si>
    <t>2</t>
  </si>
  <si>
    <t>3</t>
  </si>
  <si>
    <t>4</t>
  </si>
  <si>
    <t>5</t>
  </si>
  <si>
    <t>6</t>
  </si>
  <si>
    <t>7</t>
  </si>
  <si>
    <t>8</t>
  </si>
  <si>
    <t>Mẫu biểu số: 1.02</t>
  </si>
  <si>
    <t>Ngân hàng phát triển Châu Á</t>
  </si>
  <si>
    <t>Dự án Liên kết vùng miền Trung tỉnh Quảng Nam</t>
  </si>
  <si>
    <t>Ngân hàng XNK Hàn Quốc</t>
  </si>
  <si>
    <t>KRW</t>
  </si>
  <si>
    <t>Chủ nợ: Ngân hàng Xuất nhập khẩu Hàn Quốc</t>
  </si>
  <si>
    <t>Trả nợ trong kỳ (đồng)</t>
  </si>
  <si>
    <t>Dự nợ cuối kỳ quy VND (đồng)</t>
  </si>
  <si>
    <t>Dư nợ đầu kỳ 
quy VND (đồng)</t>
  </si>
  <si>
    <t>ĐVT: đồng</t>
  </si>
  <si>
    <t>Dự án xây dựng cầu dân sinh và quản lý tài sản đường địa phương (LRAMP)</t>
  </si>
  <si>
    <t>Ngân hàng thế giới</t>
  </si>
  <si>
    <t>Rút vốn trong kỳ (nguyên tệ)</t>
  </si>
  <si>
    <t>Dư nợ đầu kỳ (nguyên tệ)</t>
  </si>
  <si>
    <t>Dư nợ cuối kỳ (nguyên tệ)</t>
  </si>
  <si>
    <t>Dư nợ cuối kỳ
(ngày 31 tháng 12)</t>
  </si>
  <si>
    <t>Xây dựng cơ sở hạ tầng thích ứng với biến đổi khí hậu cho đồng bào dân tộc thiểu số (CRIEM) - Dự án thành phần tỉnh Quảng Nam</t>
  </si>
  <si>
    <t>Quảng Nam, ngày         tháng  7  năm 2023</t>
  </si>
  <si>
    <t>BÁO CÁO TÌNH HÌNH VAY VÀ TRẢ NỢ   6 THÁNG ĐẦU NĂM 2023</t>
  </si>
  <si>
    <t>Kỳ báo cáo: Năm 2023</t>
  </si>
  <si>
    <t>Dự án Sửa chữa nâng cao an toàn đập (WB8)</t>
  </si>
  <si>
    <t>Dự án Phát triển thành phố loại 2 tại Quảng Nam, Hà Tĩnh, Đăk Lăk - Tiểu dự án Quảng Nam, phần kết dư</t>
  </si>
  <si>
    <t xml:space="preserve"> VNĐ (đồng)</t>
  </si>
  <si>
    <t>Dư nợ đầu kỳ  VNĐ (đồng)</t>
  </si>
  <si>
    <t>Rút vốn trong kỳ VNĐ (đồng)</t>
  </si>
  <si>
    <t>Dư nợ cuối kỳ  VND (đồng)</t>
  </si>
  <si>
    <t xml:space="preserve">Ngân hàng Thế giới   </t>
  </si>
  <si>
    <t>Dự án Sửa chữa nâng cao an toàn đập</t>
  </si>
  <si>
    <t>Phụ lục III</t>
  </si>
  <si>
    <t>BÁO CÁO TÌNH HÌNH VAY VÀ TRẢ NỢ  NĂM 2023</t>
  </si>
  <si>
    <t>Phí</t>
  </si>
  <si>
    <t>(Kèm theo Báo cáo số             /STC-ĐT ngày              /6/2024 của Sở Tài chính Quảng Nam)</t>
  </si>
  <si>
    <t xml:space="preserve">Dư nợ cuối kỳ 
</t>
  </si>
  <si>
    <t>KBNN giải trình chênh lệch lãi phí giữa số Tabmis (8.612.727.700đ) và số lãi phí đã trả Sở Tài chính báo cáo theo NĐ 93/2018/NĐ-CP (9.290.316.119đ), số tiền:  677.588.419 đ. Nguyên nhân là do đây là số phí cam kết được trả từ vốn đối ứng của dự án nên không được hạch toán thể hiện trên báo cáo vay B6-01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</si>
</sst>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_);\(&quot;$&quot;#,##0.00\)"/>
    <numFmt numFmtId="41" formatCode="_(* #,##0_);_(* \(#,##0\);_(* &quot;-&quot;_);_(@_)"/>
    <numFmt numFmtId="44" formatCode="_(&quot;$&quot;* #,##0.00_);_(&quot;$&quot;* \(#,##0.00\);_(&quot;$&quot;* &quot;-&quot;??_);_(@_)"/>
    <numFmt numFmtId="43" formatCode="_(* #,##0.00_);_(* \(#,##0.00\);_(* &quot;-&quot;??_);_(@_)"/>
    <numFmt numFmtId="164" formatCode="0.0000000000000"/>
    <numFmt numFmtId="165" formatCode="#,##0.000000"/>
    <numFmt numFmtId="166" formatCode="_(* #,##0_);_(* \(#,##0\);_(* &quot;-&quot;??_);_(@_)"/>
    <numFmt numFmtId="167" formatCode="_([$€-2]\ * #,##0.00_);_([$€-2]\ * \(#,##0.00\);_([$€-2]\ * &quot;-&quot;??_);_(@_)"/>
    <numFmt numFmtId="168" formatCode="#,##0.000"/>
    <numFmt numFmtId="169" formatCode="_-[$₩-412]* #,##0.00_-;\-[$₩-412]* #,##0.00_-;_-[$₩-412]* &quot;-&quot;??_-;_-@_-"/>
    <numFmt numFmtId="170" formatCode="&quot;$&quot;#,##0.00"/>
    <numFmt numFmtId="171" formatCode="[$€-2]\ #,##0.00"/>
    <numFmt numFmtId="172" formatCode="&quot;$&quot;#,##0"/>
    <numFmt numFmtId="173" formatCode="[$₩-412]#,##0;\-[$₩-412]#,##0"/>
    <numFmt numFmtId="174" formatCode="[$₩-412]#,##0.00"/>
  </numFmts>
  <fonts count="24" x14ac:knownFonts="1">
    <font>
      <sz val="11"/>
      <color theme="1"/>
      <name val="Calibri"/>
      <family val="2"/>
      <scheme val="minor"/>
    </font>
    <font>
      <sz val="11"/>
      <color theme="1"/>
      <name val="Times New Roman"/>
      <family val="1"/>
    </font>
    <font>
      <b/>
      <sz val="11"/>
      <color theme="1"/>
      <name val="Times New Roman"/>
      <family val="1"/>
    </font>
    <font>
      <i/>
      <sz val="10"/>
      <color theme="1"/>
      <name val="Times New Roman"/>
      <family val="1"/>
    </font>
    <font>
      <sz val="11"/>
      <color theme="1"/>
      <name val="Calibri"/>
      <family val="2"/>
      <scheme val="minor"/>
    </font>
    <font>
      <sz val="10"/>
      <color theme="1"/>
      <name val="Times New Roman"/>
      <family val="1"/>
    </font>
    <font>
      <b/>
      <sz val="12"/>
      <color theme="1"/>
      <name val="Times New Roman"/>
      <family val="1"/>
    </font>
    <font>
      <b/>
      <u/>
      <sz val="12"/>
      <color theme="1"/>
      <name val="Times New Roman"/>
      <family val="1"/>
    </font>
    <font>
      <b/>
      <sz val="12"/>
      <name val="Times New Roman"/>
      <family val="1"/>
    </font>
    <font>
      <b/>
      <sz val="10"/>
      <name val="Times New Roman"/>
      <family val="1"/>
    </font>
    <font>
      <sz val="12"/>
      <name val="Times New Roman"/>
      <family val="1"/>
    </font>
    <font>
      <b/>
      <sz val="11"/>
      <color theme="1"/>
      <name val="Calibri"/>
      <family val="2"/>
      <scheme val="minor"/>
    </font>
    <font>
      <b/>
      <sz val="11"/>
      <name val="Times New Roman"/>
      <family val="1"/>
    </font>
    <font>
      <sz val="11"/>
      <name val="Times New Roman"/>
      <family val="1"/>
    </font>
    <font>
      <sz val="12"/>
      <color theme="1"/>
      <name val="Times New Roman"/>
      <family val="1"/>
    </font>
    <font>
      <b/>
      <sz val="9"/>
      <color indexed="81"/>
      <name val="Tahoma"/>
      <family val="2"/>
    </font>
    <font>
      <sz val="11"/>
      <color theme="1"/>
      <name val="Calibri"/>
      <family val="2"/>
      <charset val="163"/>
      <scheme val="minor"/>
    </font>
    <font>
      <b/>
      <sz val="14"/>
      <name val="Times New Roman"/>
      <family val="1"/>
    </font>
    <font>
      <sz val="9"/>
      <color indexed="81"/>
      <name val="Tahoma"/>
      <family val="2"/>
    </font>
    <font>
      <sz val="10"/>
      <name val="Times New Roman"/>
      <family val="1"/>
    </font>
    <font>
      <i/>
      <sz val="11"/>
      <name val="Times New Roman"/>
      <family val="1"/>
    </font>
    <font>
      <sz val="11"/>
      <color rgb="FFFF0000"/>
      <name val="Times New Roman"/>
      <family val="1"/>
    </font>
    <font>
      <i/>
      <sz val="11"/>
      <color theme="1"/>
      <name val="Times New Roman"/>
      <family val="1"/>
    </font>
    <font>
      <b/>
      <u/>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style="thin">
        <color auto="1"/>
      </right>
      <top/>
      <bottom style="hair">
        <color auto="1"/>
      </bottom>
      <diagonal/>
    </border>
    <border>
      <left/>
      <right/>
      <top style="thin">
        <color indexed="64"/>
      </top>
      <bottom/>
      <diagonal/>
    </border>
    <border>
      <left style="thin">
        <color auto="1"/>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6" fontId="16" fillId="0" borderId="0" applyFont="0" applyFill="0" applyBorder="0" applyAlignment="0" applyProtection="0"/>
  </cellStyleXfs>
  <cellXfs count="253">
    <xf numFmtId="0" fontId="0" fillId="0" borderId="0" xfId="0"/>
    <xf numFmtId="0" fontId="1" fillId="0" borderId="0" xfId="0" applyFont="1"/>
    <xf numFmtId="0" fontId="2" fillId="0" borderId="0" xfId="0" applyFont="1"/>
    <xf numFmtId="0" fontId="2" fillId="0" borderId="1" xfId="0" applyFont="1" applyBorder="1" applyAlignment="1">
      <alignment horizontal="center"/>
    </xf>
    <xf numFmtId="0" fontId="2" fillId="0" borderId="0" xfId="0" applyFont="1" applyAlignment="1">
      <alignment horizontal="center"/>
    </xf>
    <xf numFmtId="0" fontId="2" fillId="0" borderId="0" xfId="0" applyFont="1" applyAlignment="1">
      <alignment horizontal="center"/>
    </xf>
    <xf numFmtId="166" fontId="1" fillId="0" borderId="0" xfId="1" applyNumberFormat="1" applyFont="1" applyAlignment="1"/>
    <xf numFmtId="0" fontId="1" fillId="0" borderId="0" xfId="0" applyFont="1" applyAlignment="1"/>
    <xf numFmtId="166" fontId="2" fillId="0" borderId="0" xfId="1" applyNumberFormat="1" applyFont="1" applyAlignment="1"/>
    <xf numFmtId="0" fontId="1" fillId="0" borderId="1" xfId="0" applyFont="1" applyBorder="1" applyAlignment="1"/>
    <xf numFmtId="166" fontId="2" fillId="0" borderId="2" xfId="1" applyNumberFormat="1" applyFont="1" applyBorder="1" applyAlignment="1">
      <alignment horizontal="center" vertical="center" wrapText="1"/>
    </xf>
    <xf numFmtId="0" fontId="1" fillId="0" borderId="8" xfId="0" applyFont="1" applyBorder="1" applyAlignment="1">
      <alignment horizontal="center" vertical="center" wrapText="1"/>
    </xf>
    <xf numFmtId="166" fontId="1" fillId="0" borderId="8" xfId="1" applyNumberFormat="1"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Alignment="1">
      <alignment vertical="center" wrapText="1"/>
    </xf>
    <xf numFmtId="0" fontId="8" fillId="0" borderId="2" xfId="0" applyFont="1" applyBorder="1" applyAlignment="1">
      <alignment horizontal="center" vertical="center"/>
    </xf>
    <xf numFmtId="0" fontId="8" fillId="0" borderId="2" xfId="0" applyFont="1" applyBorder="1" applyAlignment="1">
      <alignment horizontal="justify" vertical="center" wrapText="1"/>
    </xf>
    <xf numFmtId="166" fontId="8" fillId="0" borderId="2" xfId="1" applyNumberFormat="1" applyFont="1" applyFill="1" applyBorder="1" applyAlignment="1">
      <alignment vertical="center"/>
    </xf>
    <xf numFmtId="166" fontId="8" fillId="0" borderId="2" xfId="1" applyNumberFormat="1" applyFont="1" applyBorder="1" applyAlignment="1">
      <alignment vertical="center"/>
    </xf>
    <xf numFmtId="9" fontId="8" fillId="0" borderId="2" xfId="2" applyFont="1" applyBorder="1" applyAlignment="1">
      <alignment horizontal="center" vertical="center" wrapText="1"/>
    </xf>
    <xf numFmtId="166" fontId="9" fillId="0" borderId="2" xfId="0" applyNumberFormat="1" applyFont="1" applyBorder="1" applyAlignment="1">
      <alignment horizontal="center" vertical="center" wrapText="1"/>
    </xf>
    <xf numFmtId="0" fontId="8" fillId="0" borderId="0" xfId="0" applyFont="1" applyAlignment="1">
      <alignment vertical="center"/>
    </xf>
    <xf numFmtId="0" fontId="8" fillId="0" borderId="2" xfId="0" applyNumberFormat="1" applyFont="1" applyFill="1" applyBorder="1" applyAlignment="1">
      <alignment horizontal="justify" vertical="center" wrapText="1"/>
    </xf>
    <xf numFmtId="166" fontId="9" fillId="0" borderId="2"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2" xfId="0" applyNumberFormat="1" applyFont="1" applyFill="1" applyBorder="1" applyAlignment="1">
      <alignment horizontal="justify" vertical="center" wrapText="1"/>
    </xf>
    <xf numFmtId="0" fontId="10" fillId="0" borderId="0" xfId="0" applyFont="1" applyAlignment="1">
      <alignment vertical="center"/>
    </xf>
    <xf numFmtId="166" fontId="8" fillId="0" borderId="2" xfId="1" applyNumberFormat="1" applyFont="1" applyFill="1" applyBorder="1" applyAlignment="1">
      <alignment horizontal="center" vertical="center" wrapText="1"/>
    </xf>
    <xf numFmtId="166" fontId="0" fillId="0" borderId="0" xfId="1" applyNumberFormat="1" applyFont="1"/>
    <xf numFmtId="166" fontId="11" fillId="0" borderId="0" xfId="1" applyNumberFormat="1" applyFont="1"/>
    <xf numFmtId="0" fontId="13" fillId="0" borderId="0" xfId="0" applyFont="1"/>
    <xf numFmtId="0" fontId="13" fillId="0" borderId="2" xfId="0" applyFont="1" applyFill="1" applyBorder="1" applyAlignment="1">
      <alignment horizontal="center" vertical="center"/>
    </xf>
    <xf numFmtId="0" fontId="13" fillId="0" borderId="2" xfId="0" applyFont="1" applyFill="1" applyBorder="1" applyAlignment="1">
      <alignment wrapText="1"/>
    </xf>
    <xf numFmtId="3" fontId="13" fillId="0" borderId="2" xfId="0" applyNumberFormat="1" applyFont="1" applyFill="1" applyBorder="1" applyAlignment="1">
      <alignment horizontal="right" vertical="center"/>
    </xf>
    <xf numFmtId="0" fontId="13" fillId="0" borderId="0" xfId="0" applyFont="1" applyFill="1"/>
    <xf numFmtId="0" fontId="12" fillId="0" borderId="2" xfId="0" applyFont="1" applyFill="1" applyBorder="1" applyAlignment="1">
      <alignment wrapText="1"/>
    </xf>
    <xf numFmtId="3" fontId="12" fillId="0" borderId="2" xfId="0" applyNumberFormat="1" applyFont="1" applyFill="1" applyBorder="1" applyAlignment="1">
      <alignment horizontal="right" vertical="center"/>
    </xf>
    <xf numFmtId="2" fontId="13" fillId="0" borderId="2" xfId="0" applyNumberFormat="1"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0" xfId="0" applyFont="1" applyFill="1" applyAlignment="1">
      <alignment vertical="center"/>
    </xf>
    <xf numFmtId="44" fontId="13" fillId="0" borderId="2" xfId="3" applyFont="1" applyFill="1" applyBorder="1" applyAlignment="1">
      <alignment horizontal="right" vertical="center"/>
    </xf>
    <xf numFmtId="167" fontId="13" fillId="0" borderId="2" xfId="0" applyNumberFormat="1" applyFont="1" applyFill="1" applyBorder="1" applyAlignment="1">
      <alignment horizontal="right" vertical="center"/>
    </xf>
    <xf numFmtId="167" fontId="12" fillId="0" borderId="2" xfId="0" applyNumberFormat="1" applyFont="1" applyFill="1" applyBorder="1" applyAlignment="1">
      <alignment horizontal="right" vertical="center"/>
    </xf>
    <xf numFmtId="0" fontId="12" fillId="0" borderId="0" xfId="0" applyFont="1" applyFill="1"/>
    <xf numFmtId="0" fontId="13" fillId="0" borderId="2" xfId="0" applyFont="1" applyFill="1" applyBorder="1" applyAlignment="1">
      <alignment horizontal="right" vertical="center"/>
    </xf>
    <xf numFmtId="0" fontId="12" fillId="0" borderId="2" xfId="0" applyFont="1" applyFill="1" applyBorder="1"/>
    <xf numFmtId="0" fontId="12" fillId="0" borderId="2" xfId="0" applyFont="1" applyFill="1" applyBorder="1" applyAlignment="1">
      <alignment horizontal="center"/>
    </xf>
    <xf numFmtId="3" fontId="12" fillId="0" borderId="2" xfId="0" applyNumberFormat="1" applyFont="1" applyFill="1" applyBorder="1"/>
    <xf numFmtId="4" fontId="12" fillId="0" borderId="2" xfId="0" applyNumberFormat="1" applyFont="1" applyFill="1" applyBorder="1"/>
    <xf numFmtId="164" fontId="13" fillId="0" borderId="0" xfId="0" applyNumberFormat="1" applyFont="1" applyFill="1"/>
    <xf numFmtId="49" fontId="12"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49" fontId="13" fillId="0" borderId="0" xfId="0" applyNumberFormat="1" applyFont="1" applyFill="1"/>
    <xf numFmtId="44" fontId="12" fillId="0" borderId="2" xfId="3" applyFont="1" applyFill="1" applyBorder="1" applyAlignment="1">
      <alignment horizontal="righ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66" fontId="10" fillId="0" borderId="2" xfId="1" applyNumberFormat="1" applyFont="1" applyBorder="1" applyAlignment="1">
      <alignment vertical="center"/>
    </xf>
    <xf numFmtId="43" fontId="10" fillId="0" borderId="10" xfId="1" applyNumberFormat="1" applyFont="1" applyFill="1" applyBorder="1" applyAlignment="1">
      <alignment vertical="center"/>
    </xf>
    <xf numFmtId="166" fontId="10" fillId="0" borderId="10" xfId="1" applyNumberFormat="1" applyFont="1" applyFill="1" applyBorder="1" applyAlignment="1">
      <alignment vertical="center"/>
    </xf>
    <xf numFmtId="43" fontId="10" fillId="0" borderId="10" xfId="1" applyNumberFormat="1" applyFont="1" applyFill="1" applyBorder="1" applyAlignment="1">
      <alignment horizontal="right" vertical="center"/>
    </xf>
    <xf numFmtId="0" fontId="13" fillId="0" borderId="2" xfId="0" applyFont="1" applyFill="1" applyBorder="1" applyAlignment="1">
      <alignment horizontal="left" vertical="center" wrapText="1"/>
    </xf>
    <xf numFmtId="166" fontId="13" fillId="0" borderId="0" xfId="1" applyNumberFormat="1" applyFont="1" applyFill="1" applyAlignment="1">
      <alignment vertical="center" wrapText="1"/>
    </xf>
    <xf numFmtId="0" fontId="5" fillId="0" borderId="0" xfId="0" applyFont="1" applyFill="1"/>
    <xf numFmtId="0" fontId="1"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69" fontId="12" fillId="0" borderId="2" xfId="0" applyNumberFormat="1" applyFont="1" applyFill="1" applyBorder="1" applyAlignment="1">
      <alignment horizontal="right" vertical="center"/>
    </xf>
    <xf numFmtId="169" fontId="13" fillId="0" borderId="2" xfId="0" applyNumberFormat="1" applyFont="1" applyFill="1" applyBorder="1" applyAlignment="1">
      <alignment horizontal="right" vertical="center"/>
    </xf>
    <xf numFmtId="3" fontId="10" fillId="0" borderId="2" xfId="1" applyNumberFormat="1" applyFont="1" applyFill="1" applyBorder="1" applyAlignment="1">
      <alignment horizontal="right" vertical="center"/>
    </xf>
    <xf numFmtId="166" fontId="6" fillId="0" borderId="3" xfId="1" applyNumberFormat="1" applyFont="1" applyBorder="1" applyAlignment="1">
      <alignment horizontal="right" vertical="center" wrapText="1"/>
    </xf>
    <xf numFmtId="166" fontId="10" fillId="0" borderId="2" xfId="1" applyNumberFormat="1" applyFont="1" applyFill="1" applyBorder="1" applyAlignment="1">
      <alignment horizontal="center" vertical="center" wrapText="1"/>
    </xf>
    <xf numFmtId="166" fontId="8" fillId="0" borderId="2" xfId="1" applyNumberFormat="1" applyFont="1" applyFill="1" applyBorder="1" applyAlignment="1">
      <alignment horizontal="right" vertical="center"/>
    </xf>
    <xf numFmtId="166" fontId="10" fillId="0" borderId="2" xfId="1" applyNumberFormat="1" applyFont="1" applyFill="1" applyBorder="1" applyAlignment="1">
      <alignment vertical="center"/>
    </xf>
    <xf numFmtId="166" fontId="14" fillId="0" borderId="2" xfId="0" applyNumberFormat="1" applyFont="1" applyFill="1" applyBorder="1" applyAlignment="1">
      <alignment horizontal="right" vertical="center"/>
    </xf>
    <xf numFmtId="3" fontId="14" fillId="0" borderId="2" xfId="0" applyNumberFormat="1" applyFont="1" applyFill="1" applyBorder="1" applyAlignment="1">
      <alignment horizontal="right" vertical="center"/>
    </xf>
    <xf numFmtId="166" fontId="10" fillId="0" borderId="2" xfId="1" applyNumberFormat="1" applyFont="1" applyBorder="1" applyAlignment="1">
      <alignment horizontal="right" vertical="center"/>
    </xf>
    <xf numFmtId="166" fontId="1" fillId="0" borderId="0" xfId="1" applyNumberFormat="1" applyFont="1"/>
    <xf numFmtId="166" fontId="13" fillId="0" borderId="0" xfId="1" applyNumberFormat="1" applyFont="1"/>
    <xf numFmtId="166" fontId="2" fillId="0" borderId="0" xfId="1" applyNumberFormat="1" applyFont="1" applyAlignment="1">
      <alignment vertical="center" wrapText="1"/>
    </xf>
    <xf numFmtId="166" fontId="8" fillId="0" borderId="0" xfId="1" applyNumberFormat="1" applyFont="1" applyAlignment="1">
      <alignment vertical="center"/>
    </xf>
    <xf numFmtId="166" fontId="10" fillId="0" borderId="0" xfId="1" applyNumberFormat="1" applyFont="1" applyAlignment="1">
      <alignment vertical="center"/>
    </xf>
    <xf numFmtId="166" fontId="10" fillId="0" borderId="0" xfId="1" applyNumberFormat="1" applyFont="1" applyFill="1" applyAlignment="1">
      <alignment vertical="center"/>
    </xf>
    <xf numFmtId="43" fontId="13" fillId="0" borderId="0" xfId="1" applyFont="1" applyFill="1" applyAlignment="1">
      <alignment vertical="center" wrapText="1"/>
    </xf>
    <xf numFmtId="43" fontId="13" fillId="0" borderId="0" xfId="1" applyFont="1" applyFill="1"/>
    <xf numFmtId="0" fontId="12" fillId="0" borderId="0" xfId="0" applyFont="1" applyFill="1" applyBorder="1"/>
    <xf numFmtId="0" fontId="13" fillId="0" borderId="0" xfId="0" applyFont="1" applyFill="1" applyBorder="1"/>
    <xf numFmtId="166" fontId="13" fillId="0" borderId="0" xfId="1" applyNumberFormat="1" applyFont="1" applyFill="1" applyBorder="1" applyAlignment="1">
      <alignment vertical="center" wrapText="1"/>
    </xf>
    <xf numFmtId="37" fontId="10" fillId="0" borderId="2" xfId="1" applyNumberFormat="1" applyFont="1" applyFill="1" applyBorder="1" applyAlignment="1">
      <alignment horizontal="center" vertical="center" wrapText="1"/>
    </xf>
    <xf numFmtId="168" fontId="13" fillId="0" borderId="0" xfId="0" applyNumberFormat="1" applyFont="1" applyFill="1" applyAlignment="1">
      <alignment horizontal="center"/>
    </xf>
    <xf numFmtId="0" fontId="1" fillId="0" borderId="8" xfId="0" applyFont="1" applyFill="1" applyBorder="1" applyAlignment="1">
      <alignment horizontal="center" vertical="center" wrapText="1"/>
    </xf>
    <xf numFmtId="0" fontId="1" fillId="0" borderId="8" xfId="0" applyFont="1" applyFill="1" applyBorder="1" applyAlignment="1">
      <alignment vertical="center" wrapText="1"/>
    </xf>
    <xf numFmtId="44" fontId="1" fillId="0" borderId="8" xfId="3" applyFont="1" applyFill="1" applyBorder="1" applyAlignment="1">
      <alignment horizontal="center" vertical="center" wrapText="1"/>
    </xf>
    <xf numFmtId="44" fontId="13" fillId="0" borderId="8" xfId="3" applyFont="1" applyFill="1" applyBorder="1" applyAlignment="1">
      <alignment horizontal="center" vertical="center" wrapText="1"/>
    </xf>
    <xf numFmtId="3" fontId="13" fillId="0" borderId="8" xfId="1" applyNumberFormat="1" applyFont="1" applyFill="1" applyBorder="1" applyAlignment="1">
      <alignment horizontal="right" vertical="center" wrapText="1"/>
    </xf>
    <xf numFmtId="0" fontId="13" fillId="0" borderId="7" xfId="0" applyFont="1" applyFill="1" applyBorder="1" applyAlignment="1">
      <alignment horizontal="left" vertical="center" wrapText="1"/>
    </xf>
    <xf numFmtId="0" fontId="1" fillId="0" borderId="11" xfId="0" applyFont="1" applyFill="1" applyBorder="1" applyAlignment="1">
      <alignment vertical="center" wrapText="1"/>
    </xf>
    <xf numFmtId="44" fontId="1" fillId="0" borderId="11" xfId="3" applyFont="1" applyFill="1" applyBorder="1" applyAlignment="1">
      <alignment horizontal="center" vertical="center" wrapText="1"/>
    </xf>
    <xf numFmtId="3" fontId="1" fillId="0" borderId="11" xfId="1" applyNumberFormat="1" applyFont="1" applyFill="1" applyBorder="1" applyAlignment="1">
      <alignment horizontal="right" vertical="center" wrapText="1"/>
    </xf>
    <xf numFmtId="44" fontId="13" fillId="0" borderId="11" xfId="3" applyFont="1" applyFill="1" applyBorder="1" applyAlignment="1">
      <alignment horizontal="center" vertical="center" wrapText="1"/>
    </xf>
    <xf numFmtId="3" fontId="13" fillId="0" borderId="11" xfId="1" applyNumberFormat="1" applyFont="1" applyFill="1" applyBorder="1" applyAlignment="1">
      <alignment horizontal="right" vertical="center" wrapText="1"/>
    </xf>
    <xf numFmtId="43" fontId="13" fillId="0" borderId="0" xfId="1" applyNumberFormat="1" applyFont="1" applyFill="1" applyAlignment="1">
      <alignment vertical="center" wrapText="1"/>
    </xf>
    <xf numFmtId="43" fontId="13" fillId="0" borderId="0" xfId="1" applyFont="1" applyFill="1" applyBorder="1" applyAlignment="1">
      <alignment vertical="center" wrapText="1"/>
    </xf>
    <xf numFmtId="166" fontId="13" fillId="0" borderId="0" xfId="1" applyNumberFormat="1" applyFont="1" applyFill="1"/>
    <xf numFmtId="166" fontId="12" fillId="0" borderId="2" xfId="1" applyNumberFormat="1" applyFont="1" applyFill="1" applyBorder="1"/>
    <xf numFmtId="0" fontId="10" fillId="0" borderId="2" xfId="0" applyFont="1" applyFill="1" applyBorder="1" applyAlignment="1">
      <alignment horizontal="left" vertical="center" wrapText="1"/>
    </xf>
    <xf numFmtId="0" fontId="12" fillId="0" borderId="10" xfId="0" applyFont="1" applyFill="1" applyBorder="1"/>
    <xf numFmtId="0" fontId="12" fillId="0" borderId="10" xfId="0" applyFont="1" applyFill="1" applyBorder="1" applyAlignment="1">
      <alignment horizontal="center"/>
    </xf>
    <xf numFmtId="4" fontId="12" fillId="0" borderId="10" xfId="0" applyNumberFormat="1" applyFont="1" applyFill="1" applyBorder="1"/>
    <xf numFmtId="3" fontId="12" fillId="0" borderId="10" xfId="0" applyNumberFormat="1" applyFont="1" applyFill="1" applyBorder="1"/>
    <xf numFmtId="166" fontId="12" fillId="0" borderId="10" xfId="1" applyNumberFormat="1" applyFont="1" applyFill="1" applyBorder="1"/>
    <xf numFmtId="165" fontId="13" fillId="0" borderId="0" xfId="0" applyNumberFormat="1" applyFont="1" applyFill="1" applyAlignment="1">
      <alignment horizontal="center"/>
    </xf>
    <xf numFmtId="0" fontId="12" fillId="0" borderId="2" xfId="0" applyFont="1" applyFill="1" applyBorder="1" applyAlignment="1">
      <alignment horizontal="center" vertical="center"/>
    </xf>
    <xf numFmtId="0" fontId="10" fillId="0" borderId="2" xfId="0" applyFont="1" applyFill="1" applyBorder="1" applyAlignment="1">
      <alignment vertical="center" wrapText="1"/>
    </xf>
    <xf numFmtId="37" fontId="13" fillId="0" borderId="2" xfId="1" applyNumberFormat="1" applyFont="1" applyFill="1" applyBorder="1" applyAlignment="1">
      <alignment horizontal="center" vertical="center" wrapText="1"/>
    </xf>
    <xf numFmtId="166" fontId="13" fillId="0" borderId="2" xfId="1" applyNumberFormat="1" applyFont="1" applyFill="1" applyBorder="1" applyAlignment="1">
      <alignment vertical="center" wrapText="1"/>
    </xf>
    <xf numFmtId="43" fontId="13" fillId="0" borderId="2" xfId="1" applyFont="1" applyFill="1" applyBorder="1" applyAlignment="1">
      <alignment horizontal="right" vertical="center" wrapText="1"/>
    </xf>
    <xf numFmtId="166" fontId="13" fillId="0" borderId="2" xfId="1"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166" fontId="13" fillId="0" borderId="2" xfId="1" applyNumberFormat="1" applyFont="1" applyFill="1" applyBorder="1" applyAlignment="1">
      <alignment horizontal="center" vertical="center" wrapText="1"/>
    </xf>
    <xf numFmtId="3" fontId="13" fillId="0" borderId="2" xfId="0" applyNumberFormat="1" applyFont="1" applyFill="1" applyBorder="1" applyAlignment="1">
      <alignment horizontal="right" vertical="center" wrapText="1"/>
    </xf>
    <xf numFmtId="43" fontId="13" fillId="0" borderId="0" xfId="1" quotePrefix="1"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0" fillId="2" borderId="12" xfId="0" applyFont="1" applyFill="1" applyBorder="1" applyAlignment="1">
      <alignment vertical="center" wrapText="1"/>
    </xf>
    <xf numFmtId="166" fontId="10" fillId="2" borderId="9" xfId="1" applyNumberFormat="1" applyFont="1" applyFill="1" applyBorder="1" applyAlignment="1">
      <alignment horizontal="center" vertical="center" wrapText="1"/>
    </xf>
    <xf numFmtId="0" fontId="13" fillId="0" borderId="2" xfId="0" applyFont="1" applyBorder="1" applyAlignment="1">
      <alignment vertical="center" wrapText="1"/>
    </xf>
    <xf numFmtId="170" fontId="13" fillId="0" borderId="2" xfId="0" applyNumberFormat="1" applyFont="1" applyFill="1" applyBorder="1" applyAlignment="1">
      <alignment horizontal="right" vertical="center"/>
    </xf>
    <xf numFmtId="170" fontId="13" fillId="0" borderId="2" xfId="1" applyNumberFormat="1" applyFont="1" applyFill="1" applyBorder="1" applyAlignment="1">
      <alignment horizontal="right" vertical="center" wrapText="1"/>
    </xf>
    <xf numFmtId="171" fontId="13" fillId="0" borderId="2" xfId="0" applyNumberFormat="1" applyFont="1" applyFill="1" applyBorder="1" applyAlignment="1">
      <alignment horizontal="right" vertical="center"/>
    </xf>
    <xf numFmtId="166" fontId="19" fillId="2" borderId="2" xfId="1" applyNumberFormat="1" applyFont="1" applyFill="1" applyBorder="1" applyAlignment="1">
      <alignment horizontal="center" vertical="center" wrapText="1"/>
    </xf>
    <xf numFmtId="173" fontId="13" fillId="0" borderId="2" xfId="1" applyNumberFormat="1" applyFont="1" applyFill="1" applyBorder="1" applyAlignment="1">
      <alignment horizontal="center" vertical="center" wrapText="1"/>
    </xf>
    <xf numFmtId="170" fontId="13" fillId="2" borderId="9" xfId="1" applyNumberFormat="1" applyFont="1" applyFill="1" applyBorder="1" applyAlignment="1">
      <alignment horizontal="right" vertical="center" wrapText="1"/>
    </xf>
    <xf numFmtId="166" fontId="13" fillId="2" borderId="9" xfId="1" applyNumberFormat="1" applyFont="1" applyFill="1" applyBorder="1" applyAlignment="1">
      <alignment horizontal="right" vertical="center" wrapText="1"/>
    </xf>
    <xf numFmtId="172" fontId="13" fillId="2" borderId="9" xfId="1" applyNumberFormat="1" applyFont="1" applyFill="1" applyBorder="1" applyAlignment="1">
      <alignment horizontal="right" vertical="center" wrapText="1"/>
    </xf>
    <xf numFmtId="173" fontId="13" fillId="0" borderId="2" xfId="1" applyNumberFormat="1" applyFont="1" applyFill="1" applyBorder="1" applyAlignment="1">
      <alignment horizontal="right" vertical="center" wrapText="1"/>
    </xf>
    <xf numFmtId="170" fontId="1" fillId="0" borderId="2" xfId="0" applyNumberFormat="1" applyFont="1" applyBorder="1" applyAlignment="1">
      <alignment horizontal="right" vertical="center" wrapText="1"/>
    </xf>
    <xf numFmtId="3" fontId="13" fillId="0" borderId="2" xfId="0" applyNumberFormat="1" applyFont="1" applyFill="1" applyBorder="1" applyAlignment="1">
      <alignment horizontal="center" vertical="center" wrapText="1"/>
    </xf>
    <xf numFmtId="170" fontId="13" fillId="0" borderId="2" xfId="0" applyNumberFormat="1" applyFont="1" applyFill="1" applyBorder="1" applyAlignment="1">
      <alignment horizontal="right" vertical="center" wrapText="1"/>
    </xf>
    <xf numFmtId="4" fontId="13" fillId="0" borderId="2" xfId="0" applyNumberFormat="1" applyFont="1" applyFill="1" applyBorder="1" applyAlignment="1">
      <alignment horizontal="right" vertical="center" wrapText="1"/>
    </xf>
    <xf numFmtId="166" fontId="13" fillId="0" borderId="2" xfId="1" quotePrefix="1" applyNumberFormat="1" applyFont="1" applyFill="1" applyBorder="1" applyAlignment="1">
      <alignment horizontal="right" vertical="center" wrapText="1"/>
    </xf>
    <xf numFmtId="41" fontId="13" fillId="0" borderId="2" xfId="1" quotePrefix="1" applyNumberFormat="1" applyFont="1" applyFill="1" applyBorder="1" applyAlignment="1">
      <alignment horizontal="right" vertical="center" wrapText="1"/>
    </xf>
    <xf numFmtId="166" fontId="13" fillId="0" borderId="2" xfId="0" applyNumberFormat="1" applyFont="1" applyFill="1" applyBorder="1" applyAlignment="1">
      <alignment horizontal="right" vertical="center" wrapText="1"/>
    </xf>
    <xf numFmtId="171" fontId="13" fillId="0" borderId="2" xfId="0" applyNumberFormat="1" applyFont="1" applyFill="1" applyBorder="1" applyAlignment="1">
      <alignment horizontal="right" vertical="center" wrapText="1"/>
    </xf>
    <xf numFmtId="3" fontId="13" fillId="0" borderId="2" xfId="1" applyNumberFormat="1" applyFont="1" applyFill="1" applyBorder="1" applyAlignment="1">
      <alignment horizontal="right" vertical="center" wrapText="1"/>
    </xf>
    <xf numFmtId="4" fontId="13" fillId="0" borderId="2" xfId="4" applyNumberFormat="1" applyFont="1" applyFill="1" applyBorder="1" applyAlignment="1">
      <alignment horizontal="right" vertical="center" wrapText="1"/>
    </xf>
    <xf numFmtId="174" fontId="13" fillId="0" borderId="2" xfId="1" applyNumberFormat="1" applyFont="1" applyFill="1" applyBorder="1" applyAlignment="1">
      <alignment horizontal="right" vertical="center" wrapText="1"/>
    </xf>
    <xf numFmtId="3" fontId="13" fillId="0" borderId="2" xfId="0" applyNumberFormat="1" applyFont="1" applyBorder="1" applyAlignment="1">
      <alignment horizontal="right" vertical="center" wrapText="1"/>
    </xf>
    <xf numFmtId="7" fontId="13" fillId="0" borderId="2" xfId="0" applyNumberFormat="1" applyFont="1" applyFill="1" applyBorder="1" applyAlignment="1">
      <alignment horizontal="right" vertical="center" wrapText="1"/>
    </xf>
    <xf numFmtId="43" fontId="13" fillId="0" borderId="2" xfId="0" applyNumberFormat="1" applyFont="1" applyFill="1" applyBorder="1" applyAlignment="1">
      <alignment horizontal="right" vertical="center" wrapText="1"/>
    </xf>
    <xf numFmtId="0" fontId="6" fillId="0" borderId="2" xfId="0" applyFont="1" applyBorder="1" applyAlignment="1">
      <alignment vertical="center" wrapText="1"/>
    </xf>
    <xf numFmtId="0" fontId="10" fillId="0" borderId="2" xfId="0" applyFont="1" applyBorder="1" applyAlignment="1">
      <alignment vertical="center" wrapText="1"/>
    </xf>
    <xf numFmtId="44" fontId="1" fillId="0" borderId="2" xfId="3" applyFont="1" applyFill="1" applyBorder="1" applyAlignment="1">
      <alignment horizontal="center" vertical="center" wrapText="1"/>
    </xf>
    <xf numFmtId="3" fontId="13" fillId="0" borderId="2" xfId="0" applyNumberFormat="1" applyFont="1" applyFill="1" applyBorder="1"/>
    <xf numFmtId="0" fontId="13" fillId="0" borderId="0" xfId="0" applyFont="1" applyFill="1" applyAlignment="1">
      <alignment horizontal="center"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center"/>
    </xf>
    <xf numFmtId="3" fontId="12"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xf>
    <xf numFmtId="0" fontId="9" fillId="0" borderId="2" xfId="0" applyFont="1" applyFill="1" applyBorder="1"/>
    <xf numFmtId="4" fontId="9" fillId="0" borderId="2" xfId="0" applyNumberFormat="1" applyFont="1" applyFill="1" applyBorder="1"/>
    <xf numFmtId="3" fontId="9" fillId="0" borderId="2" xfId="0" applyNumberFormat="1" applyFont="1" applyFill="1" applyBorder="1"/>
    <xf numFmtId="0" fontId="9" fillId="0" borderId="0" xfId="0" applyFont="1" applyFill="1"/>
    <xf numFmtId="0" fontId="9" fillId="0" borderId="0" xfId="0" applyFont="1" applyFill="1" applyBorder="1"/>
    <xf numFmtId="3" fontId="9" fillId="0" borderId="2" xfId="0" applyNumberFormat="1" applyFont="1" applyFill="1" applyBorder="1" applyAlignment="1">
      <alignment horizontal="center" vertical="center" wrapText="1"/>
    </xf>
    <xf numFmtId="4" fontId="9" fillId="0" borderId="2" xfId="0" applyNumberFormat="1" applyFont="1" applyFill="1" applyBorder="1" applyAlignment="1">
      <alignment horizontal="right"/>
    </xf>
    <xf numFmtId="166" fontId="9" fillId="0" borderId="2" xfId="1" applyNumberFormat="1" applyFont="1" applyFill="1" applyBorder="1"/>
    <xf numFmtId="4" fontId="9" fillId="0" borderId="2" xfId="0" applyNumberFormat="1" applyFont="1" applyFill="1" applyBorder="1" applyAlignment="1">
      <alignment horizontal="center" vertical="center" wrapText="1"/>
    </xf>
    <xf numFmtId="0" fontId="13" fillId="0" borderId="0" xfId="0" applyFont="1" applyFill="1" applyAlignment="1">
      <alignment horizontal="center"/>
    </xf>
    <xf numFmtId="166" fontId="21" fillId="0" borderId="2" xfId="0" applyNumberFormat="1" applyFont="1" applyFill="1" applyBorder="1" applyAlignment="1">
      <alignment horizontal="right" vertical="center" wrapText="1"/>
    </xf>
    <xf numFmtId="0" fontId="13" fillId="0" borderId="0" xfId="0" applyFont="1" applyFill="1" applyAlignment="1">
      <alignment horizontal="left"/>
    </xf>
    <xf numFmtId="0" fontId="12" fillId="0" borderId="0" xfId="0" applyFont="1" applyFill="1" applyAlignment="1"/>
    <xf numFmtId="0" fontId="20" fillId="0" borderId="0" xfId="0" applyFont="1" applyFill="1" applyAlignment="1"/>
    <xf numFmtId="0" fontId="1" fillId="0" borderId="2" xfId="0" applyFont="1" applyBorder="1" applyAlignment="1">
      <alignment horizontal="center" vertical="center" wrapText="1"/>
    </xf>
    <xf numFmtId="166" fontId="1" fillId="0" borderId="2" xfId="1" applyNumberFormat="1" applyFont="1" applyBorder="1" applyAlignment="1">
      <alignment horizontal="center" vertical="center" wrapText="1"/>
    </xf>
    <xf numFmtId="0" fontId="2" fillId="0" borderId="2" xfId="0" applyFont="1" applyBorder="1" applyAlignment="1">
      <alignment horizontal="center" vertical="center" wrapText="1"/>
    </xf>
    <xf numFmtId="0" fontId="23" fillId="0" borderId="2" xfId="0" applyFont="1" applyBorder="1" applyAlignment="1">
      <alignment horizontal="center" vertical="center" wrapText="1"/>
    </xf>
    <xf numFmtId="3" fontId="2" fillId="0" borderId="2" xfId="1" applyNumberFormat="1" applyFont="1" applyBorder="1" applyAlignment="1">
      <alignment horizontal="right" vertical="center" wrapText="1"/>
    </xf>
    <xf numFmtId="3" fontId="2" fillId="0" borderId="0" xfId="0" applyNumberFormat="1" applyFont="1" applyAlignment="1">
      <alignment vertical="center" wrapText="1"/>
    </xf>
    <xf numFmtId="0" fontId="12" fillId="0" borderId="2" xfId="0" applyFont="1" applyBorder="1" applyAlignment="1">
      <alignment horizontal="center" vertical="center"/>
    </xf>
    <xf numFmtId="0" fontId="12" fillId="0" borderId="2" xfId="0" applyFont="1" applyBorder="1" applyAlignment="1">
      <alignment horizontal="justify" vertical="center" wrapText="1"/>
    </xf>
    <xf numFmtId="3" fontId="12" fillId="0" borderId="2" xfId="1" applyNumberFormat="1" applyFont="1" applyFill="1" applyBorder="1" applyAlignment="1">
      <alignment vertical="center"/>
    </xf>
    <xf numFmtId="3" fontId="12" fillId="0" borderId="2" xfId="1" applyNumberFormat="1" applyFont="1" applyBorder="1" applyAlignment="1">
      <alignment vertical="center"/>
    </xf>
    <xf numFmtId="3" fontId="12" fillId="0" borderId="2" xfId="2"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0" fontId="12" fillId="0" borderId="0" xfId="0" applyFont="1" applyAlignment="1">
      <alignment vertical="center"/>
    </xf>
    <xf numFmtId="0" fontId="12" fillId="0" borderId="2" xfId="0" applyNumberFormat="1" applyFont="1" applyFill="1" applyBorder="1" applyAlignment="1">
      <alignment horizontal="justify" vertical="center" wrapText="1"/>
    </xf>
    <xf numFmtId="3" fontId="12" fillId="0" borderId="2" xfId="1" applyNumberFormat="1" applyFont="1" applyBorder="1" applyAlignment="1">
      <alignment horizontal="center" vertical="center"/>
    </xf>
    <xf numFmtId="3" fontId="9" fillId="0" borderId="2" xfId="0" applyNumberFormat="1" applyFont="1" applyFill="1" applyBorder="1" applyAlignment="1">
      <alignment horizontal="right" vertical="center" wrapText="1"/>
    </xf>
    <xf numFmtId="3" fontId="12" fillId="0" borderId="2" xfId="1" applyNumberFormat="1" applyFont="1" applyFill="1" applyBorder="1" applyAlignment="1">
      <alignment horizontal="right" vertical="center"/>
    </xf>
    <xf numFmtId="0" fontId="13" fillId="0" borderId="2" xfId="0" applyFont="1" applyBorder="1" applyAlignment="1">
      <alignment horizontal="center" vertical="center" wrapText="1"/>
    </xf>
    <xf numFmtId="3" fontId="1" fillId="0" borderId="2" xfId="1" applyNumberFormat="1" applyFont="1" applyBorder="1" applyAlignment="1">
      <alignment horizontal="right" vertical="center" wrapText="1"/>
    </xf>
    <xf numFmtId="3" fontId="1" fillId="3" borderId="2" xfId="1" applyNumberFormat="1" applyFont="1" applyFill="1" applyBorder="1" applyAlignment="1">
      <alignment horizontal="right" vertical="center" wrapText="1"/>
    </xf>
    <xf numFmtId="3" fontId="1" fillId="0" borderId="2" xfId="0" applyNumberFormat="1" applyFont="1" applyBorder="1" applyAlignment="1">
      <alignment horizontal="right" vertical="center" wrapText="1"/>
    </xf>
    <xf numFmtId="3" fontId="13" fillId="0" borderId="2" xfId="0" applyNumberFormat="1" applyFont="1" applyBorder="1" applyAlignment="1">
      <alignment horizontal="center" vertical="center" wrapText="1"/>
    </xf>
    <xf numFmtId="3" fontId="13" fillId="0" borderId="2" xfId="1" applyNumberFormat="1" applyFont="1" applyBorder="1" applyAlignment="1">
      <alignment horizontal="right" vertical="center"/>
    </xf>
    <xf numFmtId="3" fontId="13" fillId="0" borderId="2" xfId="1" applyNumberFormat="1" applyFont="1" applyFill="1" applyBorder="1" applyAlignment="1">
      <alignment horizontal="right" vertical="center"/>
    </xf>
    <xf numFmtId="0" fontId="13" fillId="0" borderId="0" xfId="0" applyFont="1" applyAlignment="1">
      <alignment vertical="center"/>
    </xf>
    <xf numFmtId="166" fontId="13" fillId="2" borderId="2" xfId="1" applyNumberFormat="1" applyFont="1" applyFill="1" applyBorder="1" applyAlignment="1">
      <alignment vertical="center" wrapText="1"/>
    </xf>
    <xf numFmtId="3" fontId="13" fillId="2" borderId="2" xfId="1" applyNumberFormat="1" applyFont="1" applyFill="1" applyBorder="1" applyAlignment="1">
      <alignment horizontal="right" vertical="center" wrapText="1"/>
    </xf>
    <xf numFmtId="0" fontId="13" fillId="0" borderId="0" xfId="0" applyFont="1" applyFill="1" applyAlignment="1">
      <alignment vertical="center"/>
    </xf>
    <xf numFmtId="37" fontId="13" fillId="2" borderId="2" xfId="1" applyNumberFormat="1" applyFont="1" applyFill="1" applyBorder="1" applyAlignment="1">
      <alignment horizontal="center" vertical="center" wrapText="1"/>
    </xf>
    <xf numFmtId="0" fontId="13" fillId="2" borderId="2" xfId="0" applyFont="1" applyFill="1" applyBorder="1" applyAlignment="1">
      <alignment vertical="center" wrapText="1"/>
    </xf>
    <xf numFmtId="3" fontId="13" fillId="2" borderId="2" xfId="1" quotePrefix="1" applyNumberFormat="1" applyFont="1" applyFill="1" applyBorder="1" applyAlignment="1">
      <alignment horizontal="right" vertical="center" wrapText="1"/>
    </xf>
    <xf numFmtId="0" fontId="1" fillId="0" borderId="2" xfId="0" applyFont="1" applyFill="1" applyBorder="1" applyAlignment="1">
      <alignment vertical="center" wrapText="1"/>
    </xf>
    <xf numFmtId="0" fontId="13" fillId="0" borderId="2" xfId="0" applyFont="1" applyFill="1" applyBorder="1" applyAlignment="1">
      <alignment vertical="center" wrapText="1"/>
    </xf>
    <xf numFmtId="3" fontId="13" fillId="0" borderId="2" xfId="4" applyNumberFormat="1" applyFont="1" applyFill="1" applyBorder="1" applyAlignment="1">
      <alignment horizontal="right" vertical="center" wrapText="1"/>
    </xf>
    <xf numFmtId="3" fontId="1" fillId="0" borderId="2" xfId="1" applyNumberFormat="1" applyFont="1" applyBorder="1" applyAlignment="1">
      <alignment horizontal="right"/>
    </xf>
    <xf numFmtId="0" fontId="12" fillId="0" borderId="2" xfId="0" applyFont="1" applyFill="1" applyBorder="1" applyAlignment="1">
      <alignment horizontal="right" vertical="center"/>
    </xf>
    <xf numFmtId="3" fontId="13" fillId="0" borderId="0" xfId="0" applyNumberFormat="1" applyFont="1" applyFill="1"/>
    <xf numFmtId="0" fontId="0" fillId="0" borderId="0" xfId="0" applyAlignment="1">
      <alignment horizontal="center" vertical="center" wrapText="1"/>
    </xf>
    <xf numFmtId="3" fontId="13" fillId="0" borderId="2" xfId="0" applyNumberFormat="1" applyFont="1" applyBorder="1"/>
    <xf numFmtId="0" fontId="12" fillId="0" borderId="2" xfId="0" applyFont="1" applyFill="1" applyBorder="1" applyAlignment="1">
      <alignment horizontal="center" vertical="center" wrapText="1"/>
    </xf>
    <xf numFmtId="3" fontId="13" fillId="4" borderId="2" xfId="0" applyNumberFormat="1" applyFont="1" applyFill="1" applyBorder="1" applyAlignment="1">
      <alignment horizontal="right" vertical="center" wrapText="1"/>
    </xf>
    <xf numFmtId="166" fontId="13" fillId="4" borderId="9" xfId="1" applyNumberFormat="1" applyFont="1" applyFill="1" applyBorder="1" applyAlignment="1">
      <alignment horizontal="right" vertical="center" wrapText="1"/>
    </xf>
    <xf numFmtId="166" fontId="2" fillId="0" borderId="2" xfId="1" applyNumberFormat="1" applyFont="1" applyBorder="1" applyAlignment="1">
      <alignment horizontal="center" vertical="center" wrapText="1"/>
    </xf>
    <xf numFmtId="0" fontId="1" fillId="0" borderId="0" xfId="0" applyFont="1" applyAlignment="1">
      <alignment horizontal="center"/>
    </xf>
    <xf numFmtId="0" fontId="22" fillId="0" borderId="0" xfId="0" applyFont="1" applyAlignment="1">
      <alignment horizontal="center" wrapText="1"/>
    </xf>
    <xf numFmtId="0" fontId="12" fillId="0" borderId="0" xfId="0" applyFont="1" applyBorder="1" applyAlignment="1">
      <alignment horizontal="center"/>
    </xf>
    <xf numFmtId="0" fontId="20" fillId="0" borderId="0" xfId="0" applyFont="1" applyFill="1" applyAlignment="1">
      <alignment horizontal="center"/>
    </xf>
    <xf numFmtId="0" fontId="1" fillId="0" borderId="1" xfId="0" applyFont="1" applyBorder="1" applyAlignment="1">
      <alignment horizontal="center"/>
    </xf>
    <xf numFmtId="0" fontId="2" fillId="0" borderId="2" xfId="0" applyFont="1" applyBorder="1" applyAlignment="1">
      <alignment horizontal="center" vertical="center" wrapText="1"/>
    </xf>
    <xf numFmtId="0" fontId="12" fillId="0" borderId="0" xfId="0" applyFont="1" applyFill="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7" fillId="0" borderId="0" xfId="0" applyFont="1" applyFill="1" applyAlignment="1">
      <alignment horizontal="center"/>
    </xf>
    <xf numFmtId="0" fontId="17" fillId="0" borderId="0" xfId="0" applyFont="1" applyFill="1" applyBorder="1" applyAlignment="1">
      <alignment horizontal="center"/>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166" fontId="12" fillId="0" borderId="4" xfId="1" applyNumberFormat="1" applyFont="1" applyFill="1" applyBorder="1" applyAlignment="1">
      <alignment horizontal="center" vertical="center" wrapText="1"/>
    </xf>
    <xf numFmtId="166" fontId="12" fillId="0" borderId="6" xfId="1" applyNumberFormat="1" applyFont="1" applyFill="1" applyBorder="1" applyAlignment="1">
      <alignment horizontal="center" vertical="center" wrapText="1"/>
    </xf>
    <xf numFmtId="0" fontId="20" fillId="0" borderId="1" xfId="0" applyFont="1" applyFill="1" applyBorder="1" applyAlignment="1">
      <alignment horizontal="center"/>
    </xf>
    <xf numFmtId="0" fontId="12" fillId="0" borderId="5" xfId="0" applyFont="1" applyFill="1" applyBorder="1" applyAlignment="1">
      <alignment horizontal="center" vertical="center"/>
    </xf>
    <xf numFmtId="0" fontId="12" fillId="0" borderId="0" xfId="0" applyFont="1" applyFill="1" applyAlignment="1">
      <alignment horizontal="center"/>
    </xf>
    <xf numFmtId="166" fontId="1" fillId="0" borderId="0" xfId="1" applyNumberFormat="1" applyFont="1" applyAlignment="1">
      <alignment horizontal="center"/>
    </xf>
    <xf numFmtId="0" fontId="2" fillId="0" borderId="0" xfId="0" applyFont="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166" fontId="2" fillId="0" borderId="3" xfId="1" applyNumberFormat="1" applyFont="1" applyBorder="1" applyAlignment="1">
      <alignment horizontal="center" vertical="center" wrapText="1"/>
    </xf>
    <xf numFmtId="166" fontId="2" fillId="0" borderId="7" xfId="1" applyNumberFormat="1" applyFont="1" applyBorder="1" applyAlignment="1">
      <alignment horizontal="center" vertical="center" wrapText="1"/>
    </xf>
    <xf numFmtId="166" fontId="2" fillId="0" borderId="4" xfId="1" applyNumberFormat="1" applyFont="1" applyBorder="1" applyAlignment="1">
      <alignment horizontal="center" vertical="center" wrapText="1"/>
    </xf>
    <xf numFmtId="166" fontId="2" fillId="0" borderId="5" xfId="1" applyNumberFormat="1" applyFont="1" applyBorder="1" applyAlignment="1">
      <alignment horizontal="center" vertical="center" wrapText="1"/>
    </xf>
    <xf numFmtId="166" fontId="2" fillId="0" borderId="6" xfId="1" applyNumberFormat="1" applyFont="1" applyBorder="1" applyAlignment="1">
      <alignment horizontal="center" vertical="center" wrapText="1"/>
    </xf>
    <xf numFmtId="166" fontId="14" fillId="0" borderId="0" xfId="1" applyNumberFormat="1" applyFont="1" applyAlignment="1">
      <alignment horizontal="center"/>
    </xf>
    <xf numFmtId="0" fontId="5" fillId="0" borderId="0" xfId="0" applyFont="1" applyAlignment="1">
      <alignment horizontal="center"/>
    </xf>
    <xf numFmtId="166" fontId="6" fillId="0" borderId="0" xfId="1" applyNumberFormat="1" applyFont="1" applyAlignment="1">
      <alignment horizontal="center"/>
    </xf>
    <xf numFmtId="0" fontId="3" fillId="0" borderId="0" xfId="0" applyFont="1" applyAlignment="1">
      <alignment horizontal="center" wrapText="1"/>
    </xf>
    <xf numFmtId="0" fontId="8" fillId="0" borderId="0" xfId="0" applyFont="1" applyBorder="1" applyAlignment="1">
      <alignment horizontal="center"/>
    </xf>
    <xf numFmtId="3" fontId="12" fillId="0" borderId="0" xfId="0" applyNumberFormat="1" applyFont="1" applyAlignment="1">
      <alignment vertical="center"/>
    </xf>
  </cellXfs>
  <cellStyles count="5">
    <cellStyle name="Comma" xfId="1" builtinId="3"/>
    <cellStyle name="Currency" xfId="3" builtinId="4"/>
    <cellStyle name="Dấu phẩy 2" xf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1419225</xdr:colOff>
      <xdr:row>2</xdr:row>
      <xdr:rowOff>28575</xdr:rowOff>
    </xdr:from>
    <xdr:to>
      <xdr:col>1</xdr:col>
      <xdr:colOff>2571225</xdr:colOff>
      <xdr:row>2</xdr:row>
      <xdr:rowOff>28575</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1666875" y="409575"/>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1"/>
  <sheetViews>
    <sheetView tabSelected="1" topLeftCell="C7" workbookViewId="0">
      <selection activeCell="K14" sqref="K14"/>
    </sheetView>
  </sheetViews>
  <sheetFormatPr defaultRowHeight="15" x14ac:dyDescent="0.25"/>
  <cols>
    <col min="1" max="1" width="3.7109375" style="1" customWidth="1"/>
    <col min="2" max="2" width="45.85546875" style="1" customWidth="1"/>
    <col min="3" max="4" width="17" style="77" customWidth="1"/>
    <col min="5" max="5" width="16.140625" style="77" customWidth="1"/>
    <col min="6" max="6" width="14.7109375" style="77" customWidth="1"/>
    <col min="7" max="7" width="15" style="77" customWidth="1"/>
    <col min="8" max="8" width="14.7109375" style="77" customWidth="1"/>
    <col min="9" max="9" width="15.5703125" style="77" customWidth="1"/>
    <col min="10" max="10" width="18.42578125" style="77" customWidth="1"/>
    <col min="11" max="11" width="18.7109375" style="1" customWidth="1"/>
    <col min="12" max="16384" width="9.140625" style="1"/>
  </cols>
  <sheetData>
    <row r="1" spans="1:11" x14ac:dyDescent="0.25">
      <c r="A1" s="168"/>
      <c r="B1" s="170"/>
      <c r="C1" s="168"/>
      <c r="D1" s="6"/>
      <c r="E1" s="6"/>
      <c r="F1" s="216" t="s">
        <v>95</v>
      </c>
      <c r="G1" s="216"/>
      <c r="H1" s="216"/>
      <c r="I1" s="216"/>
      <c r="J1" s="216"/>
    </row>
    <row r="2" spans="1:11" ht="15" customHeight="1" x14ac:dyDescent="0.25">
      <c r="A2" s="171"/>
      <c r="B2" s="171"/>
      <c r="C2" s="171"/>
      <c r="D2" s="8"/>
      <c r="E2" s="8"/>
      <c r="F2" s="217" t="s">
        <v>35</v>
      </c>
      <c r="G2" s="217"/>
      <c r="H2" s="217"/>
      <c r="I2" s="217"/>
      <c r="J2" s="217"/>
    </row>
    <row r="3" spans="1:11" x14ac:dyDescent="0.25">
      <c r="A3" s="7"/>
      <c r="B3" s="7"/>
      <c r="C3" s="7"/>
      <c r="D3" s="7"/>
      <c r="E3" s="7"/>
      <c r="F3" s="217"/>
      <c r="G3" s="217"/>
      <c r="H3" s="217"/>
      <c r="I3" s="217"/>
      <c r="J3" s="217"/>
    </row>
    <row r="4" spans="1:11" s="31" customFormat="1" x14ac:dyDescent="0.25">
      <c r="A4" s="218" t="s">
        <v>96</v>
      </c>
      <c r="B4" s="218"/>
      <c r="C4" s="218"/>
      <c r="D4" s="218"/>
      <c r="E4" s="218"/>
      <c r="F4" s="218"/>
      <c r="G4" s="218"/>
      <c r="H4" s="218"/>
      <c r="I4" s="218"/>
      <c r="J4" s="218"/>
    </row>
    <row r="5" spans="1:11" s="31" customFormat="1" x14ac:dyDescent="0.25">
      <c r="A5" s="219" t="s">
        <v>98</v>
      </c>
      <c r="B5" s="219"/>
      <c r="C5" s="219"/>
      <c r="D5" s="219"/>
      <c r="E5" s="219"/>
      <c r="F5" s="219"/>
      <c r="G5" s="219"/>
      <c r="H5" s="219"/>
      <c r="I5" s="219"/>
      <c r="J5" s="219"/>
    </row>
    <row r="6" spans="1:11" x14ac:dyDescent="0.25">
      <c r="A6" s="172"/>
      <c r="B6" s="3"/>
      <c r="C6" s="3"/>
      <c r="D6" s="3"/>
      <c r="E6" s="3"/>
      <c r="F6" s="9"/>
      <c r="G6" s="9"/>
      <c r="H6" s="9"/>
      <c r="I6" s="220" t="s">
        <v>76</v>
      </c>
      <c r="J6" s="220"/>
    </row>
    <row r="7" spans="1:11" x14ac:dyDescent="0.25">
      <c r="A7" s="221" t="s">
        <v>36</v>
      </c>
      <c r="B7" s="221" t="s">
        <v>37</v>
      </c>
      <c r="C7" s="215" t="s">
        <v>38</v>
      </c>
      <c r="D7" s="215" t="s">
        <v>39</v>
      </c>
      <c r="E7" s="215" t="s">
        <v>40</v>
      </c>
      <c r="F7" s="215"/>
      <c r="G7" s="215"/>
      <c r="H7" s="215"/>
      <c r="I7" s="215"/>
      <c r="J7" s="215" t="s">
        <v>99</v>
      </c>
    </row>
    <row r="8" spans="1:11" ht="24.75" customHeight="1" x14ac:dyDescent="0.25">
      <c r="A8" s="221"/>
      <c r="B8" s="221"/>
      <c r="C8" s="215"/>
      <c r="D8" s="215"/>
      <c r="E8" s="10" t="s">
        <v>4</v>
      </c>
      <c r="F8" s="10" t="s">
        <v>41</v>
      </c>
      <c r="G8" s="10" t="s">
        <v>5</v>
      </c>
      <c r="H8" s="10" t="s">
        <v>97</v>
      </c>
      <c r="I8" s="10" t="s">
        <v>42</v>
      </c>
      <c r="J8" s="215"/>
    </row>
    <row r="9" spans="1:11" s="7" customFormat="1" x14ac:dyDescent="0.25">
      <c r="A9" s="173" t="s">
        <v>43</v>
      </c>
      <c r="B9" s="173" t="s">
        <v>44</v>
      </c>
      <c r="C9" s="173">
        <v>1</v>
      </c>
      <c r="D9" s="173">
        <v>2</v>
      </c>
      <c r="E9" s="173">
        <v>3</v>
      </c>
      <c r="F9" s="173">
        <v>4</v>
      </c>
      <c r="G9" s="173"/>
      <c r="H9" s="173"/>
      <c r="I9" s="173">
        <v>5</v>
      </c>
      <c r="J9" s="174" t="s">
        <v>45</v>
      </c>
    </row>
    <row r="10" spans="1:11" s="15" customFormat="1" ht="14.25" x14ac:dyDescent="0.25">
      <c r="A10" s="175"/>
      <c r="B10" s="176" t="s">
        <v>46</v>
      </c>
      <c r="C10" s="177">
        <f>C14</f>
        <v>985865416675</v>
      </c>
      <c r="D10" s="177">
        <f t="shared" ref="D10:J10" si="0">D14</f>
        <v>177497775238</v>
      </c>
      <c r="E10" s="177">
        <f t="shared" si="0"/>
        <v>63313871000</v>
      </c>
      <c r="F10" s="177">
        <f t="shared" si="0"/>
        <v>9290316119</v>
      </c>
      <c r="G10" s="177">
        <f>G14</f>
        <v>6906517317</v>
      </c>
      <c r="H10" s="177">
        <f>H14</f>
        <v>2383798802</v>
      </c>
      <c r="I10" s="177">
        <f t="shared" si="0"/>
        <v>72604187119</v>
      </c>
      <c r="J10" s="177">
        <f t="shared" si="0"/>
        <v>1100049320913</v>
      </c>
      <c r="K10" s="178"/>
    </row>
    <row r="11" spans="1:11" s="185" customFormat="1" ht="28.5" x14ac:dyDescent="0.25">
      <c r="A11" s="179" t="s">
        <v>21</v>
      </c>
      <c r="B11" s="180" t="s">
        <v>47</v>
      </c>
      <c r="C11" s="181"/>
      <c r="D11" s="181"/>
      <c r="E11" s="182"/>
      <c r="F11" s="182"/>
      <c r="G11" s="182"/>
      <c r="H11" s="182"/>
      <c r="I11" s="183"/>
      <c r="J11" s="184"/>
    </row>
    <row r="12" spans="1:11" s="185" customFormat="1" ht="23.25" customHeight="1" x14ac:dyDescent="0.25">
      <c r="A12" s="179" t="s">
        <v>25</v>
      </c>
      <c r="B12" s="186" t="s">
        <v>48</v>
      </c>
      <c r="C12" s="181"/>
      <c r="D12" s="181"/>
      <c r="E12" s="182"/>
      <c r="F12" s="182"/>
      <c r="G12" s="182"/>
      <c r="H12" s="182"/>
      <c r="I12" s="183"/>
      <c r="J12" s="187"/>
    </row>
    <row r="13" spans="1:11" s="185" customFormat="1" ht="23.25" customHeight="1" x14ac:dyDescent="0.25">
      <c r="A13" s="179" t="s">
        <v>30</v>
      </c>
      <c r="B13" s="186" t="s">
        <v>49</v>
      </c>
      <c r="C13" s="181"/>
      <c r="D13" s="181"/>
      <c r="E13" s="182"/>
      <c r="F13" s="182"/>
      <c r="G13" s="182"/>
      <c r="H13" s="182"/>
      <c r="I13" s="183"/>
      <c r="J13" s="188"/>
    </row>
    <row r="14" spans="1:11" s="185" customFormat="1" ht="23.25" customHeight="1" x14ac:dyDescent="0.25">
      <c r="A14" s="179" t="s">
        <v>50</v>
      </c>
      <c r="B14" s="186" t="s">
        <v>51</v>
      </c>
      <c r="C14" s="189">
        <f t="shared" ref="C14:J14" si="1">SUM(C15:C21)</f>
        <v>985865416675</v>
      </c>
      <c r="D14" s="189">
        <f t="shared" si="1"/>
        <v>177497775238</v>
      </c>
      <c r="E14" s="189">
        <f t="shared" si="1"/>
        <v>63313871000</v>
      </c>
      <c r="F14" s="189">
        <f t="shared" si="1"/>
        <v>9290316119</v>
      </c>
      <c r="G14" s="189">
        <f t="shared" si="1"/>
        <v>6906517317</v>
      </c>
      <c r="H14" s="189">
        <f t="shared" si="1"/>
        <v>2383798802</v>
      </c>
      <c r="I14" s="189">
        <f>SUM(I15:I21)</f>
        <v>72604187119</v>
      </c>
      <c r="J14" s="189">
        <f t="shared" si="1"/>
        <v>1100049320913</v>
      </c>
      <c r="K14" s="252"/>
    </row>
    <row r="15" spans="1:11" s="197" customFormat="1" ht="45" x14ac:dyDescent="0.25">
      <c r="A15" s="190">
        <v>1</v>
      </c>
      <c r="B15" s="125" t="s">
        <v>88</v>
      </c>
      <c r="C15" s="191">
        <v>68112025000</v>
      </c>
      <c r="D15" s="192">
        <v>0</v>
      </c>
      <c r="E15" s="193">
        <v>4460608000</v>
      </c>
      <c r="F15" s="193">
        <f>G15+H15</f>
        <v>1580264000</v>
      </c>
      <c r="G15" s="194">
        <v>1404603000</v>
      </c>
      <c r="H15" s="194">
        <v>175661000</v>
      </c>
      <c r="I15" s="195">
        <f>E15+F15</f>
        <v>6040872000</v>
      </c>
      <c r="J15" s="196">
        <f>C15+D15-E15</f>
        <v>63651417000</v>
      </c>
    </row>
    <row r="16" spans="1:11" s="200" customFormat="1" ht="21.75" customHeight="1" x14ac:dyDescent="0.25">
      <c r="A16" s="190">
        <v>2</v>
      </c>
      <c r="B16" s="198" t="s">
        <v>87</v>
      </c>
      <c r="C16" s="199">
        <v>40713725000</v>
      </c>
      <c r="D16" s="214">
        <v>20908722250</v>
      </c>
      <c r="E16" s="199">
        <v>5006893000</v>
      </c>
      <c r="F16" s="193">
        <f t="shared" ref="F16:F21" si="2">G16+H16</f>
        <v>957354000</v>
      </c>
      <c r="G16" s="211">
        <v>957354000</v>
      </c>
      <c r="H16" s="143"/>
      <c r="I16" s="195">
        <f t="shared" ref="I16:I21" si="3">E16+F16</f>
        <v>5964247000</v>
      </c>
      <c r="J16" s="196">
        <f t="shared" ref="J16:J21" si="4">C16+D16-E16</f>
        <v>56615554250</v>
      </c>
    </row>
    <row r="17" spans="1:10" s="200" customFormat="1" ht="30" x14ac:dyDescent="0.25">
      <c r="A17" s="201">
        <v>3</v>
      </c>
      <c r="B17" s="202" t="s">
        <v>77</v>
      </c>
      <c r="C17" s="120">
        <v>50497969991.999992</v>
      </c>
      <c r="D17" s="120">
        <v>0</v>
      </c>
      <c r="E17" s="120">
        <v>4336105000</v>
      </c>
      <c r="F17" s="193">
        <f t="shared" si="2"/>
        <v>1039351000</v>
      </c>
      <c r="G17" s="143">
        <v>1039351000</v>
      </c>
      <c r="H17" s="143"/>
      <c r="I17" s="195">
        <f t="shared" si="3"/>
        <v>5375456000</v>
      </c>
      <c r="J17" s="196">
        <f t="shared" si="4"/>
        <v>46161864991.999992</v>
      </c>
    </row>
    <row r="18" spans="1:10" s="200" customFormat="1" ht="45" x14ac:dyDescent="0.25">
      <c r="A18" s="201">
        <v>4</v>
      </c>
      <c r="B18" s="198" t="s">
        <v>24</v>
      </c>
      <c r="C18" s="203">
        <v>717545566434</v>
      </c>
      <c r="D18" s="203">
        <v>131303768361</v>
      </c>
      <c r="E18" s="196">
        <v>42412828000</v>
      </c>
      <c r="F18" s="193">
        <f t="shared" si="2"/>
        <v>0</v>
      </c>
      <c r="G18" s="143"/>
      <c r="H18" s="143"/>
      <c r="I18" s="195">
        <f t="shared" si="3"/>
        <v>42412828000</v>
      </c>
      <c r="J18" s="196">
        <f>C18+D18-E18</f>
        <v>806436506795</v>
      </c>
    </row>
    <row r="19" spans="1:10" s="200" customFormat="1" ht="45" x14ac:dyDescent="0.25">
      <c r="A19" s="201">
        <v>5</v>
      </c>
      <c r="B19" s="204" t="s">
        <v>83</v>
      </c>
      <c r="C19" s="203">
        <v>80915485170</v>
      </c>
      <c r="D19" s="203">
        <v>3257222470</v>
      </c>
      <c r="E19" s="196"/>
      <c r="F19" s="193">
        <f t="shared" si="2"/>
        <v>4518067700</v>
      </c>
      <c r="G19" s="143">
        <v>2998469317</v>
      </c>
      <c r="H19" s="143">
        <v>1519598383</v>
      </c>
      <c r="I19" s="195">
        <f t="shared" si="3"/>
        <v>4518067700</v>
      </c>
      <c r="J19" s="196">
        <f t="shared" si="4"/>
        <v>84172707640</v>
      </c>
    </row>
    <row r="20" spans="1:10" s="185" customFormat="1" ht="30" x14ac:dyDescent="0.25">
      <c r="A20" s="118">
        <v>6</v>
      </c>
      <c r="B20" s="205" t="s">
        <v>27</v>
      </c>
      <c r="C20" s="143">
        <v>24281100654</v>
      </c>
      <c r="D20" s="213">
        <v>8632000000</v>
      </c>
      <c r="E20" s="206">
        <v>7097437000</v>
      </c>
      <c r="F20" s="193">
        <f t="shared" si="2"/>
        <v>1184328419</v>
      </c>
      <c r="G20" s="143">
        <v>506740000</v>
      </c>
      <c r="H20" s="143">
        <v>677588419</v>
      </c>
      <c r="I20" s="195">
        <f t="shared" si="3"/>
        <v>8281765419</v>
      </c>
      <c r="J20" s="196">
        <f t="shared" si="4"/>
        <v>25815663654</v>
      </c>
    </row>
    <row r="21" spans="1:10" ht="24" customHeight="1" x14ac:dyDescent="0.25">
      <c r="A21" s="118">
        <v>7</v>
      </c>
      <c r="B21" s="205" t="s">
        <v>69</v>
      </c>
      <c r="C21" s="143">
        <v>3799544425</v>
      </c>
      <c r="D21" s="213">
        <v>13396062157</v>
      </c>
      <c r="E21" s="207">
        <v>0</v>
      </c>
      <c r="F21" s="193">
        <f t="shared" si="2"/>
        <v>10951000</v>
      </c>
      <c r="G21" s="143"/>
      <c r="H21" s="143">
        <v>10951000</v>
      </c>
      <c r="I21" s="195">
        <f t="shared" si="3"/>
        <v>10951000</v>
      </c>
      <c r="J21" s="196">
        <f t="shared" si="4"/>
        <v>17195606582</v>
      </c>
    </row>
  </sheetData>
  <mergeCells count="11">
    <mergeCell ref="J7:J8"/>
    <mergeCell ref="F1:J1"/>
    <mergeCell ref="F2:J3"/>
    <mergeCell ref="A4:J4"/>
    <mergeCell ref="A5:J5"/>
    <mergeCell ref="I6:J6"/>
    <mergeCell ref="A7:A8"/>
    <mergeCell ref="B7:B8"/>
    <mergeCell ref="C7:C8"/>
    <mergeCell ref="D7:D8"/>
    <mergeCell ref="E7:I7"/>
  </mergeCells>
  <pageMargins left="0.2" right="0.2" top="0.5" bottom="0.5" header="0.3" footer="0.3"/>
  <pageSetup paperSize="9" scale="80"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4"/>
  <sheetViews>
    <sheetView topLeftCell="A8" workbookViewId="0">
      <selection activeCell="H10" sqref="H10"/>
    </sheetView>
  </sheetViews>
  <sheetFormatPr defaultRowHeight="18" customHeight="1" x14ac:dyDescent="0.25"/>
  <cols>
    <col min="1" max="1" width="2.85546875" style="153" customWidth="1"/>
    <col min="2" max="2" width="21.42578125" style="35" customWidth="1"/>
    <col min="3" max="3" width="7.85546875" style="35" customWidth="1"/>
    <col min="4" max="4" width="6.7109375" style="155" customWidth="1"/>
    <col min="5" max="5" width="14.5703125" style="35" customWidth="1"/>
    <col min="6" max="6" width="16.140625" style="35" customWidth="1"/>
    <col min="7" max="7" width="15.42578125" style="35" customWidth="1"/>
    <col min="8" max="8" width="16" style="35" customWidth="1"/>
    <col min="9" max="9" width="17.140625" style="35" customWidth="1"/>
    <col min="10" max="10" width="14.5703125" style="35" customWidth="1"/>
    <col min="11" max="11" width="11.28515625" style="35" customWidth="1"/>
    <col min="12" max="12" width="14.140625" style="35" customWidth="1"/>
    <col min="13" max="13" width="11.5703125" style="35" customWidth="1"/>
    <col min="14" max="14" width="14.140625" style="35" customWidth="1"/>
    <col min="15" max="15" width="12.5703125" style="35" customWidth="1"/>
    <col min="16" max="16" width="12.140625" style="103" customWidth="1"/>
    <col min="17" max="17" width="12.7109375" style="103" customWidth="1"/>
    <col min="18" max="18" width="13.7109375" style="35" customWidth="1"/>
    <col min="19" max="19" width="15.42578125" style="35" customWidth="1"/>
    <col min="20" max="20" width="16.140625" style="35" customWidth="1"/>
    <col min="21" max="21" width="3.140625" style="153" customWidth="1"/>
    <col min="22" max="22" width="3.7109375" style="153" customWidth="1"/>
    <col min="23" max="25" width="3.140625" style="153" customWidth="1"/>
    <col min="26" max="26" width="16" style="35" customWidth="1"/>
    <col min="27" max="27" width="11.7109375" style="86" customWidth="1"/>
    <col min="28" max="28" width="9.140625" style="86"/>
    <col min="29" max="16384" width="9.140625" style="35"/>
  </cols>
  <sheetData>
    <row r="1" spans="1:28" ht="18" customHeight="1" x14ac:dyDescent="0.25">
      <c r="F1" s="111"/>
      <c r="G1" s="89"/>
      <c r="H1" s="111"/>
      <c r="I1" s="111"/>
      <c r="T1" s="222" t="s">
        <v>14</v>
      </c>
      <c r="U1" s="222"/>
      <c r="V1" s="222"/>
      <c r="W1" s="222"/>
      <c r="X1" s="222"/>
      <c r="Y1" s="222"/>
    </row>
    <row r="2" spans="1:28" ht="18" customHeight="1" x14ac:dyDescent="0.3">
      <c r="A2" s="229" t="s">
        <v>0</v>
      </c>
      <c r="B2" s="229"/>
      <c r="C2" s="229"/>
      <c r="D2" s="229"/>
      <c r="E2" s="229"/>
      <c r="F2" s="229"/>
      <c r="G2" s="229"/>
      <c r="H2" s="229"/>
      <c r="I2" s="229"/>
      <c r="J2" s="229"/>
      <c r="K2" s="229"/>
      <c r="L2" s="229"/>
      <c r="M2" s="229"/>
      <c r="N2" s="229"/>
      <c r="O2" s="229"/>
      <c r="P2" s="229"/>
      <c r="Q2" s="229"/>
      <c r="R2" s="229"/>
      <c r="S2" s="229"/>
      <c r="T2" s="229"/>
      <c r="U2" s="229"/>
      <c r="V2" s="229"/>
      <c r="W2" s="229"/>
      <c r="X2" s="229"/>
      <c r="Y2" s="229"/>
    </row>
    <row r="3" spans="1:28" ht="18" customHeight="1" x14ac:dyDescent="0.3">
      <c r="A3" s="230" t="s">
        <v>86</v>
      </c>
      <c r="B3" s="230"/>
      <c r="C3" s="230"/>
      <c r="D3" s="230"/>
      <c r="E3" s="230"/>
      <c r="F3" s="230"/>
      <c r="G3" s="230"/>
      <c r="H3" s="230"/>
      <c r="I3" s="230"/>
      <c r="J3" s="230"/>
      <c r="K3" s="230"/>
      <c r="L3" s="230"/>
      <c r="M3" s="230"/>
      <c r="N3" s="230"/>
      <c r="O3" s="230"/>
      <c r="P3" s="230"/>
      <c r="Q3" s="230"/>
      <c r="R3" s="230"/>
      <c r="S3" s="230"/>
      <c r="T3" s="230"/>
      <c r="U3" s="230"/>
      <c r="V3" s="230"/>
      <c r="W3" s="230"/>
      <c r="X3" s="230"/>
      <c r="Y3" s="230"/>
    </row>
    <row r="4" spans="1:28" ht="18" customHeight="1" x14ac:dyDescent="0.25">
      <c r="A4" s="235" t="s">
        <v>98</v>
      </c>
      <c r="B4" s="235"/>
      <c r="C4" s="235"/>
      <c r="D4" s="235"/>
      <c r="E4" s="235"/>
      <c r="F4" s="235"/>
      <c r="G4" s="235"/>
      <c r="H4" s="235"/>
      <c r="I4" s="235"/>
      <c r="J4" s="235"/>
      <c r="K4" s="235"/>
      <c r="L4" s="235"/>
      <c r="M4" s="235"/>
      <c r="N4" s="235"/>
      <c r="O4" s="235"/>
      <c r="P4" s="235"/>
      <c r="Q4" s="235"/>
      <c r="R4" s="235"/>
      <c r="S4" s="235"/>
      <c r="T4" s="235"/>
      <c r="U4" s="235"/>
      <c r="V4" s="235"/>
      <c r="W4" s="235"/>
      <c r="X4" s="235"/>
      <c r="Y4" s="235"/>
    </row>
    <row r="5" spans="1:28" ht="24" customHeight="1" x14ac:dyDescent="0.25">
      <c r="A5" s="223" t="s">
        <v>1</v>
      </c>
      <c r="B5" s="223" t="s">
        <v>11</v>
      </c>
      <c r="C5" s="223" t="s">
        <v>2</v>
      </c>
      <c r="D5" s="223" t="s">
        <v>3</v>
      </c>
      <c r="E5" s="223" t="s">
        <v>80</v>
      </c>
      <c r="F5" s="223" t="s">
        <v>90</v>
      </c>
      <c r="G5" s="223" t="s">
        <v>79</v>
      </c>
      <c r="H5" s="223" t="s">
        <v>91</v>
      </c>
      <c r="I5" s="227" t="s">
        <v>73</v>
      </c>
      <c r="J5" s="236"/>
      <c r="K5" s="236"/>
      <c r="L5" s="236"/>
      <c r="M5" s="236"/>
      <c r="N5" s="236"/>
      <c r="O5" s="236"/>
      <c r="P5" s="236"/>
      <c r="Q5" s="236"/>
      <c r="R5" s="228"/>
      <c r="S5" s="223" t="s">
        <v>81</v>
      </c>
      <c r="T5" s="223" t="s">
        <v>92</v>
      </c>
      <c r="U5" s="226" t="s">
        <v>10</v>
      </c>
      <c r="V5" s="226"/>
      <c r="W5" s="226"/>
      <c r="X5" s="226"/>
      <c r="Y5" s="226"/>
    </row>
    <row r="6" spans="1:28" ht="24" customHeight="1" x14ac:dyDescent="0.25">
      <c r="A6" s="224"/>
      <c r="B6" s="224"/>
      <c r="C6" s="224"/>
      <c r="D6" s="224"/>
      <c r="E6" s="224"/>
      <c r="F6" s="224"/>
      <c r="G6" s="224"/>
      <c r="H6" s="224"/>
      <c r="I6" s="227" t="s">
        <v>4</v>
      </c>
      <c r="J6" s="228"/>
      <c r="K6" s="231" t="s">
        <v>5</v>
      </c>
      <c r="L6" s="232"/>
      <c r="M6" s="231" t="s">
        <v>6</v>
      </c>
      <c r="N6" s="232"/>
      <c r="O6" s="233" t="s">
        <v>7</v>
      </c>
      <c r="P6" s="234"/>
      <c r="Q6" s="227" t="s">
        <v>8</v>
      </c>
      <c r="R6" s="228"/>
      <c r="S6" s="224"/>
      <c r="T6" s="224"/>
      <c r="U6" s="223" t="s">
        <v>4</v>
      </c>
      <c r="V6" s="223" t="s">
        <v>5</v>
      </c>
      <c r="W6" s="223" t="s">
        <v>6</v>
      </c>
      <c r="X6" s="223" t="s">
        <v>7</v>
      </c>
      <c r="Y6" s="223" t="s">
        <v>8</v>
      </c>
    </row>
    <row r="7" spans="1:28" ht="90.75" customHeight="1" x14ac:dyDescent="0.25">
      <c r="A7" s="225"/>
      <c r="B7" s="225"/>
      <c r="C7" s="225"/>
      <c r="D7" s="225"/>
      <c r="E7" s="225"/>
      <c r="F7" s="225"/>
      <c r="G7" s="225"/>
      <c r="H7" s="225"/>
      <c r="I7" s="122" t="s">
        <v>3</v>
      </c>
      <c r="J7" s="66" t="s">
        <v>89</v>
      </c>
      <c r="K7" s="122" t="s">
        <v>3</v>
      </c>
      <c r="L7" s="66" t="s">
        <v>89</v>
      </c>
      <c r="M7" s="122" t="s">
        <v>3</v>
      </c>
      <c r="N7" s="66" t="s">
        <v>89</v>
      </c>
      <c r="O7" s="122" t="s">
        <v>3</v>
      </c>
      <c r="P7" s="66" t="s">
        <v>89</v>
      </c>
      <c r="Q7" s="122" t="s">
        <v>3</v>
      </c>
      <c r="R7" s="66" t="s">
        <v>89</v>
      </c>
      <c r="S7" s="225"/>
      <c r="T7" s="225"/>
      <c r="U7" s="225"/>
      <c r="V7" s="225"/>
      <c r="W7" s="225"/>
      <c r="X7" s="225"/>
      <c r="Y7" s="225"/>
    </row>
    <row r="8" spans="1:28" ht="18" customHeight="1" x14ac:dyDescent="0.25">
      <c r="A8" s="66">
        <v>1</v>
      </c>
      <c r="B8" s="112">
        <v>2</v>
      </c>
      <c r="C8" s="11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66">
        <v>21</v>
      </c>
      <c r="V8" s="66">
        <v>22</v>
      </c>
      <c r="W8" s="66">
        <v>23</v>
      </c>
      <c r="X8" s="66">
        <v>24</v>
      </c>
      <c r="Y8" s="66">
        <v>25</v>
      </c>
    </row>
    <row r="9" spans="1:28" s="62" customFormat="1" ht="69" customHeight="1" x14ac:dyDescent="0.25">
      <c r="A9" s="88">
        <v>1</v>
      </c>
      <c r="B9" s="113" t="s">
        <v>77</v>
      </c>
      <c r="C9" s="71" t="s">
        <v>78</v>
      </c>
      <c r="D9" s="71" t="s">
        <v>56</v>
      </c>
      <c r="E9" s="126">
        <f>549900+1180845.26*0.3+2624959.41129939*0.3+367168.43*0.3+1729627.39867481*0.3+151339.6716*0.3+2408155971/22820-90090-180180</f>
        <v>2201340.3587027593</v>
      </c>
      <c r="F9" s="120">
        <f>(12366.675+26348.572521+2553.84+40200*0.3+3502*0.3)*1000000+500+2408155971-2060974000-2070300000-2155000000-3600000</f>
        <v>50497969991.999992</v>
      </c>
      <c r="G9" s="137">
        <v>0</v>
      </c>
      <c r="H9" s="138">
        <v>0</v>
      </c>
      <c r="I9" s="137">
        <f>90090+90090</f>
        <v>180180</v>
      </c>
      <c r="J9" s="120">
        <f>2129800000+2206305000</f>
        <v>4336105000</v>
      </c>
      <c r="K9" s="137">
        <f>22053.0216087963+21152.12</f>
        <v>43205.141608796301</v>
      </c>
      <c r="L9" s="120">
        <f>521335000+518016000</f>
        <v>1039351000</v>
      </c>
      <c r="M9" s="120"/>
      <c r="N9" s="138"/>
      <c r="O9" s="138"/>
      <c r="P9" s="138"/>
      <c r="Q9" s="137">
        <f>I9+K9+M9+O9</f>
        <v>223385.14160879632</v>
      </c>
      <c r="R9" s="120">
        <f>J9+L9+N9+P9</f>
        <v>5375456000</v>
      </c>
      <c r="S9" s="137">
        <f>E9+G9-I9</f>
        <v>2021160.3587027593</v>
      </c>
      <c r="T9" s="120">
        <f>F9+H9-J9</f>
        <v>46161864991.999992</v>
      </c>
      <c r="U9" s="136">
        <v>0</v>
      </c>
      <c r="V9" s="136">
        <v>0</v>
      </c>
      <c r="W9" s="136">
        <v>0</v>
      </c>
      <c r="X9" s="136">
        <v>0</v>
      </c>
      <c r="Y9" s="136">
        <v>0</v>
      </c>
      <c r="Z9" s="83"/>
      <c r="AA9" s="87"/>
      <c r="AB9" s="87"/>
    </row>
    <row r="10" spans="1:28" s="62" customFormat="1" ht="81.75" customHeight="1" x14ac:dyDescent="0.25">
      <c r="A10" s="114">
        <v>2</v>
      </c>
      <c r="B10" s="115" t="s">
        <v>24</v>
      </c>
      <c r="C10" s="119" t="s">
        <v>68</v>
      </c>
      <c r="D10" s="119" t="s">
        <v>56</v>
      </c>
      <c r="E10" s="127">
        <v>31271702.500000004</v>
      </c>
      <c r="F10" s="139">
        <v>717545566434</v>
      </c>
      <c r="G10" s="137">
        <f>231928.23+93190.45+76491.15+237781.86+74435.77+210886.28+521919.95+98087.41+266717+299039.24+73489.23+113630.83+217086.4+165586.61+62020.29+891.28+329007.33+31902.01+16418.92+229723.11+140251.78+118500.92+316313.11+287049.17+131225.62+685388.94+153214.76+209973.05+102772.09</f>
        <v>5494922.7899999982</v>
      </c>
      <c r="H10" s="140">
        <f>5438717020+2185316056+1793717464+5564095471+1741797113+4934739040+12212926704+2295245304+6241177712+6997518132+1719647914+2658961521+5079821824+3966130584+1485509882+21347938+7922825504+776877824+399833540+5594217119+3415411340+2885734368+7699693760+7003999640+3201905080+16720063184+3737674072+5122292439+2486570812</f>
        <v>131303768361</v>
      </c>
      <c r="I10" s="137">
        <f>1794872.1</f>
        <v>1794872.1</v>
      </c>
      <c r="J10" s="139">
        <v>42412828000</v>
      </c>
      <c r="K10" s="139"/>
      <c r="L10" s="117">
        <v>0</v>
      </c>
      <c r="M10" s="139"/>
      <c r="N10" s="117">
        <v>0</v>
      </c>
      <c r="O10" s="139"/>
      <c r="P10" s="117">
        <v>0</v>
      </c>
      <c r="Q10" s="137">
        <f>I10+K10+M10+O10</f>
        <v>1794872.1</v>
      </c>
      <c r="R10" s="120">
        <f t="shared" ref="R10" si="0">J10+L10+N10+P10</f>
        <v>42412828000</v>
      </c>
      <c r="S10" s="137">
        <f>E10+G10-I10</f>
        <v>34971753.189999998</v>
      </c>
      <c r="T10" s="117">
        <f>F10+H10-J10</f>
        <v>806436506795</v>
      </c>
      <c r="U10" s="119"/>
      <c r="V10" s="119"/>
      <c r="W10" s="119"/>
      <c r="X10" s="119"/>
      <c r="Y10" s="119"/>
      <c r="Z10" s="101"/>
      <c r="AA10" s="102"/>
      <c r="AB10" s="121"/>
    </row>
    <row r="11" spans="1:28" ht="60" x14ac:dyDescent="0.25">
      <c r="A11" s="118">
        <v>3</v>
      </c>
      <c r="B11" s="61" t="s">
        <v>27</v>
      </c>
      <c r="C11" s="118" t="s">
        <v>28</v>
      </c>
      <c r="D11" s="32" t="s">
        <v>29</v>
      </c>
      <c r="E11" s="128">
        <f>152246.87+740246.69-(101463.44+65927.6)-(12505.54+5539.47)-617.29+533895.68-263200</f>
        <v>977135.89999999991</v>
      </c>
      <c r="F11" s="169">
        <v>24281100654</v>
      </c>
      <c r="G11" s="142">
        <f>335558.049-399.26</f>
        <v>335158.78899999999</v>
      </c>
      <c r="H11" s="143">
        <v>8632000000</v>
      </c>
      <c r="I11" s="142">
        <v>262837.46000000002</v>
      </c>
      <c r="J11" s="120">
        <v>7097437000</v>
      </c>
      <c r="K11" s="142">
        <f>9080.24+9669.22</f>
        <v>18749.46</v>
      </c>
      <c r="L11" s="120">
        <f>602098467+315429952+266800000-N11</f>
        <v>506740000</v>
      </c>
      <c r="M11" s="142">
        <v>25060.43</v>
      </c>
      <c r="N11" s="120">
        <f>362158467+315429952</f>
        <v>677588419</v>
      </c>
      <c r="O11" s="143"/>
      <c r="P11" s="117">
        <v>0</v>
      </c>
      <c r="Q11" s="142">
        <f t="shared" ref="Q11:Q12" si="1">I11+K11+M11+O11</f>
        <v>306647.35000000003</v>
      </c>
      <c r="R11" s="120">
        <f>J11+L11+N11+P11</f>
        <v>8281765419</v>
      </c>
      <c r="S11" s="142">
        <f t="shared" ref="S11:S12" si="2">E11+G11-I11</f>
        <v>1049457.2289999998</v>
      </c>
      <c r="T11" s="120">
        <f>F11+H11-J11</f>
        <v>25815663654</v>
      </c>
      <c r="U11" s="136">
        <v>0</v>
      </c>
      <c r="V11" s="136">
        <v>0</v>
      </c>
      <c r="W11" s="136">
        <v>0</v>
      </c>
      <c r="X11" s="136">
        <v>0</v>
      </c>
      <c r="Y11" s="136">
        <v>0</v>
      </c>
      <c r="Z11" s="84"/>
      <c r="AA11" s="87"/>
    </row>
    <row r="12" spans="1:28" ht="75" x14ac:dyDescent="0.25">
      <c r="A12" s="118">
        <v>4</v>
      </c>
      <c r="B12" s="61" t="s">
        <v>69</v>
      </c>
      <c r="C12" s="118" t="s">
        <v>70</v>
      </c>
      <c r="D12" s="32" t="s">
        <v>71</v>
      </c>
      <c r="E12" s="130">
        <f>(382169600+295631930)*0.3</f>
        <v>203340459</v>
      </c>
      <c r="F12" s="141">
        <v>3799544425</v>
      </c>
      <c r="G12" s="134">
        <v>769719549</v>
      </c>
      <c r="H12" s="141">
        <f>1096869264+10929437775+1369755118</f>
        <v>13396062157</v>
      </c>
      <c r="I12" s="143"/>
      <c r="J12" s="144"/>
      <c r="K12" s="143"/>
      <c r="L12" s="144"/>
      <c r="M12" s="143"/>
      <c r="N12" s="120"/>
      <c r="O12" s="145">
        <f>254175.54+321539.09</f>
        <v>575714.63</v>
      </c>
      <c r="P12" s="120">
        <v>10951000</v>
      </c>
      <c r="Q12" s="145">
        <f t="shared" si="1"/>
        <v>575714.63</v>
      </c>
      <c r="R12" s="120">
        <f t="shared" ref="R12" si="3">J12+L12+N12+P12</f>
        <v>10951000</v>
      </c>
      <c r="S12" s="145">
        <f t="shared" si="2"/>
        <v>973060008</v>
      </c>
      <c r="T12" s="120">
        <f>+F12+H12-J12</f>
        <v>17195606582</v>
      </c>
      <c r="U12" s="136"/>
      <c r="V12" s="136"/>
      <c r="W12" s="136"/>
      <c r="X12" s="136"/>
      <c r="Y12" s="136"/>
      <c r="Z12" s="84"/>
      <c r="AA12" s="87"/>
    </row>
    <row r="13" spans="1:28" ht="105" x14ac:dyDescent="0.25">
      <c r="A13" s="118">
        <v>5</v>
      </c>
      <c r="B13" s="61" t="s">
        <v>83</v>
      </c>
      <c r="C13" s="118" t="s">
        <v>68</v>
      </c>
      <c r="D13" s="32" t="s">
        <v>56</v>
      </c>
      <c r="E13" s="127">
        <f>788660.64*0.7 + (386079.97+67331.34+9482.85+948891.86+281837.3+114850.54+1546.63+135232.07+191857.24+47137.99+791846.01+718588.82+344774.67+31875.67)*0.7</f>
        <v>3401995.5199999996</v>
      </c>
      <c r="F13" s="141">
        <f>12976316500+67939168670</f>
        <v>80915485170</v>
      </c>
      <c r="G13" s="127">
        <f>(102975.39+72827.58+22294.23)*0.7</f>
        <v>138668.04</v>
      </c>
      <c r="H13" s="141">
        <f>3257222470</f>
        <v>3257222470</v>
      </c>
      <c r="I13" s="141">
        <v>0</v>
      </c>
      <c r="J13" s="141">
        <v>0</v>
      </c>
      <c r="K13" s="127">
        <v>124988.3</v>
      </c>
      <c r="L13" s="141">
        <v>2998469317</v>
      </c>
      <c r="M13" s="127">
        <f>41228.3333333333+1184.16666666667+16991.25</f>
        <v>59403.749999999971</v>
      </c>
      <c r="N13" s="141">
        <f>988250000+28385000+407773010</f>
        <v>1424408010</v>
      </c>
      <c r="O13" s="127">
        <f>1381.52777777778+2586.79</f>
        <v>3968.3177777777801</v>
      </c>
      <c r="P13" s="141">
        <f>33110000+62080373</f>
        <v>95190373</v>
      </c>
      <c r="Q13" s="127">
        <f>I13+K13+M13+O13</f>
        <v>188360.36777777778</v>
      </c>
      <c r="R13" s="120">
        <f>J13+L13+N13+P13</f>
        <v>4518067700</v>
      </c>
      <c r="S13" s="127">
        <f>E13+G13-I13</f>
        <v>3540663.5599999996</v>
      </c>
      <c r="T13" s="120">
        <f>+F13+H13-J13</f>
        <v>84172707640</v>
      </c>
      <c r="U13" s="136">
        <v>0</v>
      </c>
      <c r="V13" s="136">
        <v>0</v>
      </c>
      <c r="W13" s="136">
        <v>0</v>
      </c>
      <c r="X13" s="136">
        <v>0</v>
      </c>
      <c r="Y13" s="136">
        <v>0</v>
      </c>
      <c r="Z13" s="84"/>
      <c r="AA13" s="87"/>
      <c r="AB13" s="35"/>
    </row>
    <row r="14" spans="1:28" ht="47.25" x14ac:dyDescent="0.25">
      <c r="A14" s="118">
        <v>6</v>
      </c>
      <c r="B14" s="123" t="s">
        <v>87</v>
      </c>
      <c r="C14" s="124" t="s">
        <v>78</v>
      </c>
      <c r="D14" s="124" t="s">
        <v>56</v>
      </c>
      <c r="E14" s="131">
        <v>1770056.57</v>
      </c>
      <c r="F14" s="132">
        <v>40713725000</v>
      </c>
      <c r="G14" s="131">
        <v>888355.09499999997</v>
      </c>
      <c r="H14" s="132">
        <v>20908722250</v>
      </c>
      <c r="I14" s="135">
        <v>208230</v>
      </c>
      <c r="J14" s="146">
        <v>5006893000</v>
      </c>
      <c r="K14" s="147">
        <v>39745.040000000001</v>
      </c>
      <c r="L14" s="146">
        <v>957354000</v>
      </c>
      <c r="M14" s="148"/>
      <c r="N14" s="141"/>
      <c r="O14" s="148"/>
      <c r="P14" s="141"/>
      <c r="Q14" s="127">
        <f t="shared" ref="Q14:Q15" si="4">I14+K14+M14+O14</f>
        <v>247975.04000000001</v>
      </c>
      <c r="R14" s="120">
        <f t="shared" ref="R14:R15" si="5">J14+L14+N14+P14</f>
        <v>5964247000</v>
      </c>
      <c r="S14" s="135">
        <f>E14+G14-I14</f>
        <v>2450181.665</v>
      </c>
      <c r="T14" s="120">
        <f>F14+H14-J14</f>
        <v>56615554250</v>
      </c>
      <c r="U14" s="136"/>
      <c r="V14" s="136"/>
      <c r="W14" s="136"/>
      <c r="X14" s="136"/>
      <c r="Y14" s="136"/>
      <c r="Z14" s="84"/>
      <c r="AA14" s="87"/>
      <c r="AB14" s="35"/>
    </row>
    <row r="15" spans="1:28" ht="90" x14ac:dyDescent="0.25">
      <c r="A15" s="118">
        <v>7</v>
      </c>
      <c r="B15" s="125" t="s">
        <v>88</v>
      </c>
      <c r="C15" s="129" t="s">
        <v>68</v>
      </c>
      <c r="D15" s="129" t="s">
        <v>56</v>
      </c>
      <c r="E15" s="133">
        <v>2960112</v>
      </c>
      <c r="F15" s="143">
        <v>68112025000</v>
      </c>
      <c r="G15" s="116">
        <v>0</v>
      </c>
      <c r="H15" s="141">
        <v>0</v>
      </c>
      <c r="I15" s="135">
        <v>185007</v>
      </c>
      <c r="J15" s="141">
        <v>4460608000</v>
      </c>
      <c r="K15" s="135">
        <v>29601.119999999999</v>
      </c>
      <c r="L15" s="141">
        <v>1404603000</v>
      </c>
      <c r="M15" s="148"/>
      <c r="N15" s="141"/>
      <c r="O15" s="135">
        <v>7284.65</v>
      </c>
      <c r="P15" s="141">
        <v>175661000</v>
      </c>
      <c r="Q15" s="127">
        <f t="shared" si="4"/>
        <v>221892.77</v>
      </c>
      <c r="R15" s="120">
        <f t="shared" si="5"/>
        <v>6040872000</v>
      </c>
      <c r="S15" s="135">
        <f>E15+G15-I15</f>
        <v>2775105</v>
      </c>
      <c r="T15" s="120">
        <f>F15+H15-J15</f>
        <v>63651417000</v>
      </c>
      <c r="U15" s="136"/>
      <c r="V15" s="136"/>
      <c r="W15" s="136"/>
      <c r="X15" s="136"/>
      <c r="Y15" s="136"/>
      <c r="Z15" s="84"/>
      <c r="AA15" s="87"/>
      <c r="AB15" s="35"/>
    </row>
    <row r="16" spans="1:28" s="44" customFormat="1" ht="18" customHeight="1" x14ac:dyDescent="0.2">
      <c r="A16" s="66"/>
      <c r="B16" s="47" t="s">
        <v>13</v>
      </c>
      <c r="C16" s="46"/>
      <c r="D16" s="47"/>
      <c r="E16" s="48"/>
      <c r="F16" s="49"/>
      <c r="G16" s="48"/>
      <c r="H16" s="48"/>
      <c r="I16" s="48"/>
      <c r="J16" s="48"/>
      <c r="K16" s="48"/>
      <c r="L16" s="48"/>
      <c r="M16" s="48"/>
      <c r="N16" s="48"/>
      <c r="O16" s="48"/>
      <c r="P16" s="104"/>
      <c r="Q16" s="104"/>
      <c r="R16" s="48"/>
      <c r="S16" s="48"/>
      <c r="T16" s="49"/>
      <c r="U16" s="156"/>
      <c r="V16" s="156"/>
      <c r="W16" s="156"/>
      <c r="X16" s="156"/>
      <c r="Y16" s="156"/>
      <c r="AA16" s="85"/>
      <c r="AB16" s="85"/>
    </row>
    <row r="17" spans="1:28" s="162" customFormat="1" ht="20.25" customHeight="1" x14ac:dyDescent="0.2">
      <c r="A17" s="157"/>
      <c r="B17" s="158" t="s">
        <v>56</v>
      </c>
      <c r="C17" s="159"/>
      <c r="D17" s="158"/>
      <c r="E17" s="160">
        <f>E9+E10+E13+E14+E15</f>
        <v>41605206.94870276</v>
      </c>
      <c r="F17" s="160"/>
      <c r="G17" s="160">
        <f t="shared" ref="G17:S17" si="6">G9+G10+G13+G14+G15</f>
        <v>6521945.924999998</v>
      </c>
      <c r="H17" s="160"/>
      <c r="I17" s="160">
        <f t="shared" si="6"/>
        <v>2368289.1</v>
      </c>
      <c r="J17" s="160"/>
      <c r="K17" s="160">
        <f t="shared" si="6"/>
        <v>237539.60160879631</v>
      </c>
      <c r="L17" s="160"/>
      <c r="M17" s="160">
        <f t="shared" si="6"/>
        <v>59403.749999999971</v>
      </c>
      <c r="N17" s="160"/>
      <c r="O17" s="160">
        <f t="shared" si="6"/>
        <v>11252.96777777778</v>
      </c>
      <c r="P17" s="160"/>
      <c r="Q17" s="160">
        <f t="shared" si="6"/>
        <v>2676485.4193865741</v>
      </c>
      <c r="R17" s="160"/>
      <c r="S17" s="160">
        <f t="shared" si="6"/>
        <v>45758863.773702756</v>
      </c>
      <c r="T17" s="160"/>
      <c r="U17" s="164">
        <f>U9+U10+U13</f>
        <v>0</v>
      </c>
      <c r="V17" s="164">
        <f>V9+V10+V13</f>
        <v>0</v>
      </c>
      <c r="W17" s="164">
        <f>W9+W10+W13</f>
        <v>0</v>
      </c>
      <c r="X17" s="164">
        <f>X9+X10+X13</f>
        <v>0</v>
      </c>
      <c r="Y17" s="164">
        <f>Y9+Y10+Y13</f>
        <v>0</v>
      </c>
      <c r="AA17" s="163"/>
      <c r="AB17" s="163"/>
    </row>
    <row r="18" spans="1:28" s="162" customFormat="1" ht="20.25" customHeight="1" x14ac:dyDescent="0.2">
      <c r="A18" s="157"/>
      <c r="B18" s="158" t="s">
        <v>29</v>
      </c>
      <c r="C18" s="159"/>
      <c r="D18" s="158"/>
      <c r="E18" s="160">
        <f>E11</f>
        <v>977135.89999999991</v>
      </c>
      <c r="F18" s="160"/>
      <c r="G18" s="160">
        <f t="shared" ref="G18:Y18" si="7">G11</f>
        <v>335158.78899999999</v>
      </c>
      <c r="H18" s="160"/>
      <c r="I18" s="160">
        <f t="shared" ref="I18" si="8">I11</f>
        <v>262837.46000000002</v>
      </c>
      <c r="J18" s="160"/>
      <c r="K18" s="160">
        <f t="shared" ref="K18" si="9">K11</f>
        <v>18749.46</v>
      </c>
      <c r="L18" s="160"/>
      <c r="M18" s="165">
        <f t="shared" ref="M18" si="10">M11</f>
        <v>25060.43</v>
      </c>
      <c r="N18" s="160"/>
      <c r="O18" s="160">
        <f t="shared" ref="O18" si="11">O11</f>
        <v>0</v>
      </c>
      <c r="P18" s="166"/>
      <c r="Q18" s="160">
        <f t="shared" ref="Q18" si="12">Q11</f>
        <v>306647.35000000003</v>
      </c>
      <c r="R18" s="160"/>
      <c r="S18" s="160">
        <f t="shared" si="7"/>
        <v>1049457.2289999998</v>
      </c>
      <c r="T18" s="160"/>
      <c r="U18" s="164">
        <f t="shared" si="7"/>
        <v>0</v>
      </c>
      <c r="V18" s="164">
        <f t="shared" si="7"/>
        <v>0</v>
      </c>
      <c r="W18" s="164">
        <f t="shared" si="7"/>
        <v>0</v>
      </c>
      <c r="X18" s="164">
        <f t="shared" si="7"/>
        <v>0</v>
      </c>
      <c r="Y18" s="164">
        <f t="shared" si="7"/>
        <v>0</v>
      </c>
      <c r="AA18" s="163"/>
      <c r="AB18" s="163"/>
    </row>
    <row r="19" spans="1:28" s="162" customFormat="1" ht="20.25" customHeight="1" x14ac:dyDescent="0.2">
      <c r="A19" s="157"/>
      <c r="B19" s="158" t="s">
        <v>71</v>
      </c>
      <c r="C19" s="159"/>
      <c r="D19" s="158"/>
      <c r="E19" s="161">
        <f>E12</f>
        <v>203340459</v>
      </c>
      <c r="F19" s="160"/>
      <c r="G19" s="161">
        <f>G12</f>
        <v>769719549</v>
      </c>
      <c r="H19" s="160"/>
      <c r="I19" s="160">
        <f>I12</f>
        <v>0</v>
      </c>
      <c r="J19" s="160"/>
      <c r="K19" s="160">
        <f>K12</f>
        <v>0</v>
      </c>
      <c r="L19" s="160"/>
      <c r="M19" s="160">
        <f>M12</f>
        <v>0</v>
      </c>
      <c r="N19" s="160"/>
      <c r="O19" s="160">
        <f>O12</f>
        <v>575714.63</v>
      </c>
      <c r="P19" s="166"/>
      <c r="Q19" s="160">
        <f>Q12</f>
        <v>575714.63</v>
      </c>
      <c r="R19" s="160"/>
      <c r="S19" s="161">
        <f>S12</f>
        <v>973060008</v>
      </c>
      <c r="T19" s="160"/>
      <c r="U19" s="167"/>
      <c r="V19" s="167"/>
      <c r="W19" s="167"/>
      <c r="X19" s="167"/>
      <c r="Y19" s="167"/>
      <c r="AA19" s="163"/>
      <c r="AB19" s="163"/>
    </row>
    <row r="20" spans="1:28" s="162" customFormat="1" ht="20.25" customHeight="1" x14ac:dyDescent="0.2">
      <c r="A20" s="157"/>
      <c r="B20" s="158" t="s">
        <v>58</v>
      </c>
      <c r="C20" s="159"/>
      <c r="D20" s="158"/>
      <c r="E20" s="160"/>
      <c r="F20" s="161">
        <f>F9+F10+F11+F12+F13+F14+F15</f>
        <v>985865416675</v>
      </c>
      <c r="G20" s="161"/>
      <c r="H20" s="161">
        <f t="shared" ref="H20:T20" si="13">H9+H10+H11+H12+H13+H14+H15</f>
        <v>177497775238</v>
      </c>
      <c r="I20" s="161"/>
      <c r="J20" s="161">
        <f t="shared" si="13"/>
        <v>63313871000</v>
      </c>
      <c r="K20" s="161"/>
      <c r="L20" s="161">
        <f t="shared" si="13"/>
        <v>6906517317</v>
      </c>
      <c r="M20" s="161"/>
      <c r="N20" s="161">
        <f t="shared" si="13"/>
        <v>2101996429</v>
      </c>
      <c r="O20" s="161"/>
      <c r="P20" s="161">
        <f t="shared" si="13"/>
        <v>281802373</v>
      </c>
      <c r="Q20" s="161"/>
      <c r="R20" s="161">
        <f>R9+R10+R11+R12+R13+R14+R15</f>
        <v>72604187119</v>
      </c>
      <c r="S20" s="161"/>
      <c r="T20" s="161">
        <f t="shared" si="13"/>
        <v>1100049320913</v>
      </c>
      <c r="U20" s="157"/>
      <c r="V20" s="157"/>
      <c r="W20" s="157"/>
      <c r="X20" s="157"/>
      <c r="Y20" s="157"/>
      <c r="AA20" s="163"/>
      <c r="AB20" s="163"/>
    </row>
    <row r="21" spans="1:28" s="85" customFormat="1" ht="18" customHeight="1" x14ac:dyDescent="0.2">
      <c r="A21" s="154"/>
      <c r="B21" s="107"/>
      <c r="C21" s="106"/>
      <c r="D21" s="107"/>
      <c r="E21" s="108"/>
      <c r="F21" s="109"/>
      <c r="G21" s="106"/>
      <c r="H21" s="109"/>
      <c r="I21" s="109"/>
      <c r="J21" s="109"/>
      <c r="K21" s="109"/>
      <c r="L21" s="109"/>
      <c r="M21" s="109"/>
      <c r="N21" s="109"/>
      <c r="O21" s="109"/>
      <c r="P21" s="109"/>
      <c r="Q21" s="110"/>
      <c r="R21" s="109"/>
      <c r="S21" s="106"/>
      <c r="T21" s="109"/>
      <c r="U21" s="154"/>
      <c r="V21" s="154"/>
      <c r="W21" s="154"/>
      <c r="X21" s="154"/>
      <c r="Y21" s="154"/>
    </row>
    <row r="22" spans="1:28" ht="18" customHeight="1" x14ac:dyDescent="0.25">
      <c r="B22" s="50"/>
      <c r="L22" s="209">
        <f>L20+N20+P20</f>
        <v>9290316119</v>
      </c>
    </row>
    <row r="23" spans="1:28" ht="18" customHeight="1" x14ac:dyDescent="0.25">
      <c r="L23" s="209">
        <f>N11</f>
        <v>677588419</v>
      </c>
    </row>
    <row r="24" spans="1:28" ht="18" customHeight="1" x14ac:dyDescent="0.25">
      <c r="L24" s="209">
        <f>L22-L23</f>
        <v>8612727700</v>
      </c>
    </row>
  </sheetData>
  <mergeCells count="26">
    <mergeCell ref="W6:W7"/>
    <mergeCell ref="X6:X7"/>
    <mergeCell ref="Y6:Y7"/>
    <mergeCell ref="D5:D7"/>
    <mergeCell ref="E5:E7"/>
    <mergeCell ref="I5:R5"/>
    <mergeCell ref="S5:S7"/>
    <mergeCell ref="T5:T7"/>
    <mergeCell ref="U6:U7"/>
    <mergeCell ref="V6:V7"/>
    <mergeCell ref="T1:Y1"/>
    <mergeCell ref="B5:B7"/>
    <mergeCell ref="U5:Y5"/>
    <mergeCell ref="C5:C7"/>
    <mergeCell ref="H5:H7"/>
    <mergeCell ref="Q6:R6"/>
    <mergeCell ref="I6:J6"/>
    <mergeCell ref="A2:Y2"/>
    <mergeCell ref="A3:Y3"/>
    <mergeCell ref="F5:F7"/>
    <mergeCell ref="G5:G7"/>
    <mergeCell ref="K6:L6"/>
    <mergeCell ref="M6:N6"/>
    <mergeCell ref="O6:P6"/>
    <mergeCell ref="A4:Y4"/>
    <mergeCell ref="A5:A7"/>
  </mergeCells>
  <printOptions horizontalCentered="1"/>
  <pageMargins left="0.196850393700787" right="0.2" top="0.59" bottom="0.511811023622047" header="0.31496062992126" footer="0.31496062992126"/>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4" workbookViewId="0">
      <selection activeCell="D5" sqref="D5"/>
    </sheetView>
  </sheetViews>
  <sheetFormatPr defaultRowHeight="15" x14ac:dyDescent="0.25"/>
  <cols>
    <col min="1" max="1" width="5.28515625" style="35" customWidth="1"/>
    <col min="2" max="2" width="44.5703125" style="35" customWidth="1"/>
    <col min="3" max="3" width="18.5703125" style="35" customWidth="1"/>
    <col min="4" max="4" width="19.140625" style="35" customWidth="1"/>
    <col min="5" max="5" width="19.28515625" style="35" customWidth="1"/>
    <col min="6" max="6" width="18.5703125" style="35" customWidth="1"/>
    <col min="7" max="7" width="7" style="35" customWidth="1"/>
    <col min="8" max="8" width="6.7109375" style="35" customWidth="1"/>
    <col min="9" max="16384" width="9.140625" style="35"/>
  </cols>
  <sheetData>
    <row r="1" spans="1:8" x14ac:dyDescent="0.25">
      <c r="A1" s="44"/>
      <c r="G1" s="44" t="s">
        <v>67</v>
      </c>
    </row>
    <row r="2" spans="1:8" x14ac:dyDescent="0.25">
      <c r="A2" s="237" t="s">
        <v>17</v>
      </c>
      <c r="B2" s="237"/>
      <c r="C2" s="237"/>
      <c r="D2" s="237"/>
      <c r="E2" s="237"/>
      <c r="F2" s="237"/>
      <c r="G2" s="237"/>
      <c r="H2" s="237"/>
    </row>
    <row r="3" spans="1:8" x14ac:dyDescent="0.25">
      <c r="A3" s="237" t="s">
        <v>86</v>
      </c>
      <c r="B3" s="237"/>
      <c r="C3" s="237"/>
      <c r="D3" s="237"/>
      <c r="E3" s="237"/>
      <c r="F3" s="237"/>
      <c r="G3" s="237"/>
      <c r="H3" s="237"/>
    </row>
    <row r="4" spans="1:8" x14ac:dyDescent="0.25">
      <c r="A4" s="235" t="s">
        <v>98</v>
      </c>
      <c r="B4" s="235"/>
      <c r="C4" s="235"/>
      <c r="D4" s="235"/>
      <c r="E4" s="235"/>
      <c r="F4" s="235"/>
      <c r="G4" s="235"/>
      <c r="H4" s="235"/>
    </row>
    <row r="5" spans="1:8" ht="114" customHeight="1" x14ac:dyDescent="0.25">
      <c r="A5" s="55" t="s">
        <v>1</v>
      </c>
      <c r="B5" s="55" t="s">
        <v>18</v>
      </c>
      <c r="C5" s="55" t="s">
        <v>19</v>
      </c>
      <c r="D5" s="66" t="s">
        <v>75</v>
      </c>
      <c r="E5" s="55" t="s">
        <v>9</v>
      </c>
      <c r="F5" s="66" t="s">
        <v>74</v>
      </c>
      <c r="G5" s="56" t="s">
        <v>22</v>
      </c>
      <c r="H5" s="56" t="s">
        <v>20</v>
      </c>
    </row>
    <row r="6" spans="1:8" s="53" customFormat="1" ht="20.25" customHeight="1" x14ac:dyDescent="0.25">
      <c r="A6" s="51" t="s">
        <v>59</v>
      </c>
      <c r="B6" s="51" t="s">
        <v>60</v>
      </c>
      <c r="C6" s="51" t="s">
        <v>61</v>
      </c>
      <c r="D6" s="52" t="s">
        <v>62</v>
      </c>
      <c r="E6" s="51" t="s">
        <v>63</v>
      </c>
      <c r="F6" s="52" t="s">
        <v>64</v>
      </c>
      <c r="G6" s="52" t="s">
        <v>65</v>
      </c>
      <c r="H6" s="52" t="s">
        <v>66</v>
      </c>
    </row>
    <row r="7" spans="1:8" s="44" customFormat="1" ht="24" customHeight="1" x14ac:dyDescent="0.2">
      <c r="A7" s="47" t="s">
        <v>21</v>
      </c>
      <c r="B7" s="46" t="s">
        <v>23</v>
      </c>
      <c r="C7" s="54">
        <f>C8</f>
        <v>2201340.3587027593</v>
      </c>
      <c r="D7" s="37">
        <f t="shared" ref="D7:H7" si="0">D8</f>
        <v>50497969991.999992</v>
      </c>
      <c r="E7" s="54">
        <f>E8</f>
        <v>2021160.3587027593</v>
      </c>
      <c r="F7" s="37">
        <f t="shared" si="0"/>
        <v>46161864991.999992</v>
      </c>
      <c r="G7" s="37">
        <f t="shared" si="0"/>
        <v>0</v>
      </c>
      <c r="H7" s="37">
        <f t="shared" si="0"/>
        <v>0</v>
      </c>
    </row>
    <row r="8" spans="1:8" ht="30" x14ac:dyDescent="0.25">
      <c r="A8" s="32">
        <v>1</v>
      </c>
      <c r="B8" s="33" t="s">
        <v>12</v>
      </c>
      <c r="C8" s="41">
        <f>'1.01'!E9</f>
        <v>2201340.3587027593</v>
      </c>
      <c r="D8" s="34">
        <f>'1.01'!F9</f>
        <v>50497969991.999992</v>
      </c>
      <c r="E8" s="41">
        <f>'1.01'!S9</f>
        <v>2021160.3587027593</v>
      </c>
      <c r="F8" s="34">
        <f>'1.01'!T9</f>
        <v>46161864991.999992</v>
      </c>
      <c r="G8" s="45">
        <v>0</v>
      </c>
      <c r="H8" s="45">
        <v>0</v>
      </c>
    </row>
    <row r="9" spans="1:8" s="44" customFormat="1" ht="20.45" customHeight="1" x14ac:dyDescent="0.2">
      <c r="A9" s="55" t="s">
        <v>25</v>
      </c>
      <c r="B9" s="36" t="s">
        <v>26</v>
      </c>
      <c r="C9" s="54">
        <f>C10+C11+C12</f>
        <v>37633810.020000003</v>
      </c>
      <c r="D9" s="37">
        <f>D10+D11+D12</f>
        <v>866573076604</v>
      </c>
      <c r="E9" s="54">
        <f>E10+E11+E12</f>
        <v>41287521.75</v>
      </c>
      <c r="F9" s="37">
        <f>F10+F11+F12</f>
        <v>954260631435</v>
      </c>
      <c r="G9" s="54">
        <f t="shared" ref="G9:H9" si="1">G10+G11</f>
        <v>0</v>
      </c>
      <c r="H9" s="208">
        <f t="shared" si="1"/>
        <v>0</v>
      </c>
    </row>
    <row r="10" spans="1:8" s="63" customFormat="1" ht="45" x14ac:dyDescent="0.2">
      <c r="A10" s="64">
        <v>1</v>
      </c>
      <c r="B10" s="96" t="s">
        <v>24</v>
      </c>
      <c r="C10" s="97">
        <f>'1.01'!E10</f>
        <v>31271702.500000004</v>
      </c>
      <c r="D10" s="98">
        <f>'1.01'!F10</f>
        <v>717545566434</v>
      </c>
      <c r="E10" s="99">
        <f>'1.01'!S10</f>
        <v>34971753.189999998</v>
      </c>
      <c r="F10" s="100">
        <f>'1.01'!T10</f>
        <v>806436506795</v>
      </c>
      <c r="G10" s="96"/>
      <c r="H10" s="96"/>
    </row>
    <row r="11" spans="1:8" s="63" customFormat="1" ht="45" x14ac:dyDescent="0.2">
      <c r="A11" s="90">
        <v>2</v>
      </c>
      <c r="B11" s="95" t="s">
        <v>83</v>
      </c>
      <c r="C11" s="92">
        <f>'1.01'!E13</f>
        <v>3401995.5199999996</v>
      </c>
      <c r="D11" s="98">
        <f>'1.01'!F13</f>
        <v>80915485170</v>
      </c>
      <c r="E11" s="93">
        <f>'1.01'!S13</f>
        <v>3540663.5599999996</v>
      </c>
      <c r="F11" s="94">
        <f>'1.01'!T13</f>
        <v>84172707640</v>
      </c>
      <c r="G11" s="91"/>
      <c r="H11" s="91"/>
    </row>
    <row r="12" spans="1:8" s="63" customFormat="1" ht="47.25" x14ac:dyDescent="0.2">
      <c r="A12" s="90">
        <v>3</v>
      </c>
      <c r="B12" s="150" t="s">
        <v>88</v>
      </c>
      <c r="C12" s="92">
        <f>'1.01'!E15</f>
        <v>2960112</v>
      </c>
      <c r="D12" s="98">
        <f>'1.01'!F15</f>
        <v>68112025000</v>
      </c>
      <c r="E12" s="93">
        <f>'1.01'!S15</f>
        <v>2775105</v>
      </c>
      <c r="F12" s="94">
        <f>'1.01'!T15</f>
        <v>63651417000</v>
      </c>
      <c r="G12" s="91"/>
      <c r="H12" s="91"/>
    </row>
    <row r="13" spans="1:8" ht="20.45" customHeight="1" x14ac:dyDescent="0.25">
      <c r="A13" s="55" t="s">
        <v>30</v>
      </c>
      <c r="B13" s="36" t="s">
        <v>31</v>
      </c>
      <c r="C13" s="43">
        <f>C14</f>
        <v>977135.89999999991</v>
      </c>
      <c r="D13" s="37">
        <f t="shared" ref="D13:G19" si="2">D14</f>
        <v>24281100654</v>
      </c>
      <c r="E13" s="43">
        <f t="shared" si="2"/>
        <v>1049457.2289999998</v>
      </c>
      <c r="F13" s="37">
        <f t="shared" si="2"/>
        <v>25815663654</v>
      </c>
      <c r="G13" s="37">
        <f t="shared" si="2"/>
        <v>0</v>
      </c>
      <c r="H13" s="37">
        <f>H14</f>
        <v>0</v>
      </c>
    </row>
    <row r="14" spans="1:8" ht="33" customHeight="1" x14ac:dyDescent="0.25">
      <c r="A14" s="32">
        <v>1</v>
      </c>
      <c r="B14" s="38" t="s">
        <v>27</v>
      </c>
      <c r="C14" s="42">
        <f>'1.01'!E11</f>
        <v>977135.89999999991</v>
      </c>
      <c r="D14" s="34">
        <f>'1.01'!F11</f>
        <v>24281100654</v>
      </c>
      <c r="E14" s="42">
        <f>'1.01'!S11</f>
        <v>1049457.2289999998</v>
      </c>
      <c r="F14" s="34">
        <f>'1.01'!T11</f>
        <v>25815663654</v>
      </c>
      <c r="G14" s="34">
        <v>0</v>
      </c>
      <c r="H14" s="34">
        <v>0</v>
      </c>
    </row>
    <row r="15" spans="1:8" ht="20.45" customHeight="1" x14ac:dyDescent="0.25">
      <c r="A15" s="65" t="s">
        <v>50</v>
      </c>
      <c r="B15" s="36" t="s">
        <v>72</v>
      </c>
      <c r="C15" s="67">
        <f>C16</f>
        <v>203340459</v>
      </c>
      <c r="D15" s="37">
        <f t="shared" si="2"/>
        <v>3799544425</v>
      </c>
      <c r="E15" s="67">
        <f t="shared" si="2"/>
        <v>973060008</v>
      </c>
      <c r="F15" s="37">
        <f t="shared" si="2"/>
        <v>17195606582</v>
      </c>
      <c r="G15" s="37">
        <f t="shared" si="2"/>
        <v>0</v>
      </c>
      <c r="H15" s="37">
        <f>H16</f>
        <v>0</v>
      </c>
    </row>
    <row r="16" spans="1:8" ht="33" customHeight="1" x14ac:dyDescent="0.25">
      <c r="A16" s="32">
        <v>1</v>
      </c>
      <c r="B16" s="61" t="s">
        <v>69</v>
      </c>
      <c r="C16" s="68">
        <f>'1.01'!E12</f>
        <v>203340459</v>
      </c>
      <c r="D16" s="34">
        <f>'1.01'!F12</f>
        <v>3799544425</v>
      </c>
      <c r="E16" s="68">
        <f>'1.01'!S12</f>
        <v>973060008</v>
      </c>
      <c r="F16" s="34">
        <f>'1.01'!T12</f>
        <v>17195606582</v>
      </c>
      <c r="G16" s="34"/>
      <c r="H16" s="34"/>
    </row>
    <row r="17" spans="1:8" ht="33" customHeight="1" x14ac:dyDescent="0.25">
      <c r="A17" s="122" t="s">
        <v>53</v>
      </c>
      <c r="B17" s="149" t="s">
        <v>93</v>
      </c>
      <c r="C17" s="67">
        <f>C18</f>
        <v>1770056.57</v>
      </c>
      <c r="D17" s="37">
        <f>D18</f>
        <v>40713725000</v>
      </c>
      <c r="E17" s="67">
        <f>E18</f>
        <v>2450181.665</v>
      </c>
      <c r="F17" s="37">
        <f>F18</f>
        <v>56615554250</v>
      </c>
      <c r="G17" s="37">
        <f t="shared" si="2"/>
        <v>0</v>
      </c>
      <c r="H17" s="37">
        <f>H18</f>
        <v>0</v>
      </c>
    </row>
    <row r="18" spans="1:8" s="44" customFormat="1" ht="20.45" customHeight="1" x14ac:dyDescent="0.25">
      <c r="A18" s="46">
        <v>1</v>
      </c>
      <c r="B18" s="150" t="s">
        <v>94</v>
      </c>
      <c r="C18" s="151">
        <f>'1.01'!E14</f>
        <v>1770056.57</v>
      </c>
      <c r="D18" s="152">
        <f>'1.01'!F14</f>
        <v>40713725000</v>
      </c>
      <c r="E18" s="68">
        <f>'1.01'!S14</f>
        <v>2450181.665</v>
      </c>
      <c r="F18" s="152">
        <f>'1.01'!T14</f>
        <v>56615554250</v>
      </c>
      <c r="G18" s="34">
        <v>0</v>
      </c>
      <c r="H18" s="34">
        <v>0</v>
      </c>
    </row>
    <row r="19" spans="1:8" s="44" customFormat="1" ht="18.75" customHeight="1" x14ac:dyDescent="0.2">
      <c r="A19" s="46"/>
      <c r="B19" s="46" t="s">
        <v>13</v>
      </c>
      <c r="C19" s="46"/>
      <c r="D19" s="48">
        <f>D7+D9+D13+D15+D17</f>
        <v>985865416675</v>
      </c>
      <c r="E19" s="48"/>
      <c r="F19" s="48">
        <f t="shared" ref="F19" si="3">F7+F9+F13+F15+F17</f>
        <v>1100049320913</v>
      </c>
      <c r="G19" s="37">
        <f t="shared" si="2"/>
        <v>0</v>
      </c>
      <c r="H19" s="37">
        <f>H20</f>
        <v>0</v>
      </c>
    </row>
  </sheetData>
  <mergeCells count="3">
    <mergeCell ref="A2:H2"/>
    <mergeCell ref="A3:H3"/>
    <mergeCell ref="A4:H4"/>
  </mergeCells>
  <pageMargins left="0.21" right="0.23622047244094491" top="0.3" bottom="0.41" header="0.21"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
  <sheetViews>
    <sheetView workbookViewId="0">
      <selection activeCell="F5" sqref="F5"/>
    </sheetView>
  </sheetViews>
  <sheetFormatPr defaultRowHeight="15" x14ac:dyDescent="0.25"/>
  <cols>
    <col min="2" max="2" width="19.5703125" customWidth="1"/>
  </cols>
  <sheetData>
    <row r="5" spans="2:2" ht="255" x14ac:dyDescent="0.25">
      <c r="B5" s="210" t="s">
        <v>100</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4"/>
  <sheetViews>
    <sheetView topLeftCell="A8" workbookViewId="0">
      <selection activeCell="I10" sqref="I10"/>
    </sheetView>
  </sheetViews>
  <sheetFormatPr defaultRowHeight="15" x14ac:dyDescent="0.25"/>
  <cols>
    <col min="1" max="1" width="2.85546875" style="153" customWidth="1"/>
    <col min="2" max="2" width="21.42578125" style="35" customWidth="1"/>
    <col min="3" max="3" width="7.85546875" style="35" customWidth="1"/>
    <col min="4" max="4" width="6.7109375" style="168" customWidth="1"/>
    <col min="5" max="5" width="14.5703125" style="35" customWidth="1"/>
    <col min="6" max="6" width="16.140625" style="35" customWidth="1"/>
    <col min="7" max="7" width="15.42578125" style="35" customWidth="1"/>
    <col min="8" max="8" width="16" style="35" customWidth="1"/>
    <col min="9" max="9" width="17.140625" style="35" customWidth="1"/>
    <col min="10" max="10" width="14.5703125" style="35" customWidth="1"/>
    <col min="11" max="11" width="11.28515625" style="35" customWidth="1"/>
    <col min="12" max="12" width="14.140625" style="35" customWidth="1"/>
    <col min="13" max="13" width="11.5703125" style="35" customWidth="1"/>
    <col min="14" max="14" width="14.140625" style="35" customWidth="1"/>
    <col min="15" max="15" width="12.5703125" style="35" customWidth="1"/>
    <col min="16" max="16" width="12.140625" style="103" customWidth="1"/>
    <col min="17" max="17" width="12.7109375" style="103" customWidth="1"/>
    <col min="18" max="18" width="13.7109375" style="35" customWidth="1"/>
    <col min="19" max="19" width="15.42578125" style="35" customWidth="1"/>
    <col min="20" max="20" width="16.140625" style="35" customWidth="1"/>
    <col min="21" max="21" width="3.140625" style="153" customWidth="1"/>
    <col min="22" max="22" width="3.7109375" style="153" customWidth="1"/>
    <col min="23" max="25" width="3.140625" style="153" customWidth="1"/>
    <col min="26" max="26" width="16" style="35" customWidth="1"/>
    <col min="27" max="27" width="11.7109375" style="86" customWidth="1"/>
    <col min="28" max="28" width="9.140625" style="86"/>
    <col min="29" max="16384" width="9.140625" style="35"/>
  </cols>
  <sheetData>
    <row r="1" spans="1:28" ht="18" customHeight="1" x14ac:dyDescent="0.25">
      <c r="F1" s="111"/>
      <c r="G1" s="89"/>
      <c r="H1" s="111"/>
      <c r="I1" s="111"/>
      <c r="T1" s="222" t="s">
        <v>14</v>
      </c>
      <c r="U1" s="222"/>
      <c r="V1" s="222"/>
      <c r="W1" s="222"/>
      <c r="X1" s="222"/>
      <c r="Y1" s="222"/>
    </row>
    <row r="2" spans="1:28" ht="18" customHeight="1" x14ac:dyDescent="0.3">
      <c r="A2" s="229" t="s">
        <v>0</v>
      </c>
      <c r="B2" s="229"/>
      <c r="C2" s="229"/>
      <c r="D2" s="229"/>
      <c r="E2" s="229"/>
      <c r="F2" s="229"/>
      <c r="G2" s="229"/>
      <c r="H2" s="229"/>
      <c r="I2" s="229"/>
      <c r="J2" s="229"/>
      <c r="K2" s="229"/>
      <c r="L2" s="229"/>
      <c r="M2" s="229"/>
      <c r="N2" s="229"/>
      <c r="O2" s="229"/>
      <c r="P2" s="229"/>
      <c r="Q2" s="229"/>
      <c r="R2" s="229"/>
      <c r="S2" s="229"/>
      <c r="T2" s="229"/>
      <c r="U2" s="229"/>
      <c r="V2" s="229"/>
      <c r="W2" s="229"/>
      <c r="X2" s="229"/>
      <c r="Y2" s="229"/>
    </row>
    <row r="3" spans="1:28" ht="18" customHeight="1" x14ac:dyDescent="0.3">
      <c r="A3" s="230" t="s">
        <v>86</v>
      </c>
      <c r="B3" s="230"/>
      <c r="C3" s="230"/>
      <c r="D3" s="230"/>
      <c r="E3" s="230"/>
      <c r="F3" s="230"/>
      <c r="G3" s="230"/>
      <c r="H3" s="230"/>
      <c r="I3" s="230"/>
      <c r="J3" s="230"/>
      <c r="K3" s="230"/>
      <c r="L3" s="230"/>
      <c r="M3" s="230"/>
      <c r="N3" s="230"/>
      <c r="O3" s="230"/>
      <c r="P3" s="230"/>
      <c r="Q3" s="230"/>
      <c r="R3" s="230"/>
      <c r="S3" s="230"/>
      <c r="T3" s="230"/>
      <c r="U3" s="230"/>
      <c r="V3" s="230"/>
      <c r="W3" s="230"/>
      <c r="X3" s="230"/>
      <c r="Y3" s="230"/>
    </row>
    <row r="4" spans="1:28" ht="18" customHeight="1" x14ac:dyDescent="0.25">
      <c r="A4" s="235" t="s">
        <v>98</v>
      </c>
      <c r="B4" s="235"/>
      <c r="C4" s="235"/>
      <c r="D4" s="235"/>
      <c r="E4" s="235"/>
      <c r="F4" s="235"/>
      <c r="G4" s="235"/>
      <c r="H4" s="235"/>
      <c r="I4" s="235"/>
      <c r="J4" s="235"/>
      <c r="K4" s="235"/>
      <c r="L4" s="235"/>
      <c r="M4" s="235"/>
      <c r="N4" s="235"/>
      <c r="O4" s="235"/>
      <c r="P4" s="235"/>
      <c r="Q4" s="235"/>
      <c r="R4" s="235"/>
      <c r="S4" s="235"/>
      <c r="T4" s="235"/>
      <c r="U4" s="235"/>
      <c r="V4" s="235"/>
      <c r="W4" s="235"/>
      <c r="X4" s="235"/>
      <c r="Y4" s="235"/>
    </row>
    <row r="5" spans="1:28" ht="24" customHeight="1" x14ac:dyDescent="0.25">
      <c r="A5" s="223" t="s">
        <v>1</v>
      </c>
      <c r="B5" s="223" t="s">
        <v>11</v>
      </c>
      <c r="C5" s="223" t="s">
        <v>2</v>
      </c>
      <c r="D5" s="223" t="s">
        <v>3</v>
      </c>
      <c r="E5" s="223" t="s">
        <v>80</v>
      </c>
      <c r="F5" s="223" t="s">
        <v>90</v>
      </c>
      <c r="G5" s="223" t="s">
        <v>79</v>
      </c>
      <c r="H5" s="223" t="s">
        <v>91</v>
      </c>
      <c r="I5" s="227" t="s">
        <v>73</v>
      </c>
      <c r="J5" s="236"/>
      <c r="K5" s="236"/>
      <c r="L5" s="236"/>
      <c r="M5" s="236"/>
      <c r="N5" s="236"/>
      <c r="O5" s="236"/>
      <c r="P5" s="236"/>
      <c r="Q5" s="236"/>
      <c r="R5" s="228"/>
      <c r="S5" s="223" t="s">
        <v>81</v>
      </c>
      <c r="T5" s="223" t="s">
        <v>92</v>
      </c>
      <c r="U5" s="226" t="s">
        <v>10</v>
      </c>
      <c r="V5" s="226"/>
      <c r="W5" s="226"/>
      <c r="X5" s="226"/>
      <c r="Y5" s="226"/>
    </row>
    <row r="6" spans="1:28" ht="24" customHeight="1" x14ac:dyDescent="0.25">
      <c r="A6" s="224"/>
      <c r="B6" s="224"/>
      <c r="C6" s="224"/>
      <c r="D6" s="224"/>
      <c r="E6" s="224"/>
      <c r="F6" s="224"/>
      <c r="G6" s="224"/>
      <c r="H6" s="224"/>
      <c r="I6" s="227" t="s">
        <v>4</v>
      </c>
      <c r="J6" s="228"/>
      <c r="K6" s="231" t="s">
        <v>5</v>
      </c>
      <c r="L6" s="232"/>
      <c r="M6" s="231" t="s">
        <v>6</v>
      </c>
      <c r="N6" s="232"/>
      <c r="O6" s="233" t="s">
        <v>7</v>
      </c>
      <c r="P6" s="234"/>
      <c r="Q6" s="227" t="s">
        <v>8</v>
      </c>
      <c r="R6" s="228"/>
      <c r="S6" s="224"/>
      <c r="T6" s="224"/>
      <c r="U6" s="223" t="s">
        <v>4</v>
      </c>
      <c r="V6" s="223" t="s">
        <v>5</v>
      </c>
      <c r="W6" s="223" t="s">
        <v>6</v>
      </c>
      <c r="X6" s="223" t="s">
        <v>7</v>
      </c>
      <c r="Y6" s="223" t="s">
        <v>8</v>
      </c>
    </row>
    <row r="7" spans="1:28" ht="90.75" customHeight="1" x14ac:dyDescent="0.25">
      <c r="A7" s="225"/>
      <c r="B7" s="225"/>
      <c r="C7" s="225"/>
      <c r="D7" s="225"/>
      <c r="E7" s="225"/>
      <c r="F7" s="225"/>
      <c r="G7" s="225"/>
      <c r="H7" s="225"/>
      <c r="I7" s="122" t="s">
        <v>3</v>
      </c>
      <c r="J7" s="212" t="s">
        <v>89</v>
      </c>
      <c r="K7" s="122" t="s">
        <v>3</v>
      </c>
      <c r="L7" s="212" t="s">
        <v>89</v>
      </c>
      <c r="M7" s="122" t="s">
        <v>3</v>
      </c>
      <c r="N7" s="212" t="s">
        <v>89</v>
      </c>
      <c r="O7" s="122" t="s">
        <v>3</v>
      </c>
      <c r="P7" s="212" t="s">
        <v>89</v>
      </c>
      <c r="Q7" s="122" t="s">
        <v>3</v>
      </c>
      <c r="R7" s="212" t="s">
        <v>89</v>
      </c>
      <c r="S7" s="225"/>
      <c r="T7" s="225"/>
      <c r="U7" s="225"/>
      <c r="V7" s="225"/>
      <c r="W7" s="225"/>
      <c r="X7" s="225"/>
      <c r="Y7" s="225"/>
    </row>
    <row r="8" spans="1:28" ht="18" customHeight="1" x14ac:dyDescent="0.25">
      <c r="A8" s="21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212">
        <v>21</v>
      </c>
      <c r="V8" s="212">
        <v>22</v>
      </c>
      <c r="W8" s="212">
        <v>23</v>
      </c>
      <c r="X8" s="212">
        <v>24</v>
      </c>
      <c r="Y8" s="212">
        <v>25</v>
      </c>
    </row>
    <row r="9" spans="1:28" s="62" customFormat="1" ht="69" customHeight="1" x14ac:dyDescent="0.25">
      <c r="A9" s="88">
        <v>1</v>
      </c>
      <c r="B9" s="113" t="s">
        <v>77</v>
      </c>
      <c r="C9" s="71" t="s">
        <v>78</v>
      </c>
      <c r="D9" s="71" t="s">
        <v>56</v>
      </c>
      <c r="E9" s="126">
        <f>549900+1180845.26*0.3+2624959.41129939*0.3+367168.43*0.3+1729627.39867481*0.3+151339.6716*0.3+2408155971/22820-90090-180180</f>
        <v>2201340.3587027593</v>
      </c>
      <c r="F9" s="120">
        <f>(12366.675+26348.572521+2553.84+40200*0.3+3502*0.3)*1000000+500+2408155971-2060974000-2070300000-2155000000-3600000</f>
        <v>50497969991.999992</v>
      </c>
      <c r="G9" s="137">
        <v>0</v>
      </c>
      <c r="H9" s="138">
        <v>0</v>
      </c>
      <c r="I9" s="137">
        <f>90090+90090</f>
        <v>180180</v>
      </c>
      <c r="J9" s="120">
        <f>2129800000+2206305000</f>
        <v>4336105000</v>
      </c>
      <c r="K9" s="137">
        <f>22053.0216087963+21152.12</f>
        <v>43205.141608796301</v>
      </c>
      <c r="L9" s="120">
        <f>521335000+518016000</f>
        <v>1039351000</v>
      </c>
      <c r="M9" s="120"/>
      <c r="N9" s="138"/>
      <c r="O9" s="138"/>
      <c r="P9" s="138"/>
      <c r="Q9" s="137">
        <f>I9+K9+M9+O9</f>
        <v>223385.14160879632</v>
      </c>
      <c r="R9" s="120">
        <f>J9+L9+N9+P9</f>
        <v>5375456000</v>
      </c>
      <c r="S9" s="137">
        <f>E9+G9-I9</f>
        <v>2021160.3587027593</v>
      </c>
      <c r="T9" s="120">
        <f>F9+H9-J9</f>
        <v>46161864991.999992</v>
      </c>
      <c r="U9" s="136">
        <v>0</v>
      </c>
      <c r="V9" s="136">
        <v>0</v>
      </c>
      <c r="W9" s="136">
        <v>0</v>
      </c>
      <c r="X9" s="136">
        <v>0</v>
      </c>
      <c r="Y9" s="136">
        <v>0</v>
      </c>
      <c r="Z9" s="83"/>
      <c r="AA9" s="87"/>
      <c r="AB9" s="87"/>
    </row>
    <row r="10" spans="1:28" s="62" customFormat="1" ht="81.75" customHeight="1" x14ac:dyDescent="0.25">
      <c r="A10" s="114">
        <v>2</v>
      </c>
      <c r="B10" s="115" t="s">
        <v>24</v>
      </c>
      <c r="C10" s="119" t="s">
        <v>68</v>
      </c>
      <c r="D10" s="119" t="s">
        <v>56</v>
      </c>
      <c r="E10" s="127">
        <v>33415102.630000003</v>
      </c>
      <c r="F10" s="139">
        <v>717545566434</v>
      </c>
      <c r="G10" s="137">
        <f>231928.23+93190.45+76491.15+237781.86+74435.77+210886.28+521919.95+98087.41+266717+299039.24+73489.23+113630.83+217086.4+165586.61+62020.29+891.28+329007.33+31902.01+16418.92+229723.11+140251.78+118500.92+316313.11+287049.17+131225.62+685388.94+153214.76+209973.05+102772.09</f>
        <v>5494922.7899999982</v>
      </c>
      <c r="H10" s="140">
        <f>5438717020+2185316056+1793717464+5564095471+1741797113+4934739040+12212926704+2295245304+6241177712+6997518132+1719647914+2658961521+5079821824+3966130584+1485509882+21347938+7922825504+776877824+399833540+5594217119+3415411340+2885734368+7699693760+7003999640+3201905080+16720063184+3737674072+5122292439+2486570812</f>
        <v>131303768361</v>
      </c>
      <c r="I10" s="137">
        <f>948221.37+1011631.24</f>
        <v>1959852.6099999999</v>
      </c>
      <c r="J10" s="139">
        <v>42412828000</v>
      </c>
      <c r="K10" s="139"/>
      <c r="L10" s="117">
        <v>0</v>
      </c>
      <c r="M10" s="139"/>
      <c r="N10" s="117">
        <v>0</v>
      </c>
      <c r="O10" s="139"/>
      <c r="P10" s="117">
        <v>0</v>
      </c>
      <c r="Q10" s="137">
        <f>I10+K10+M10+O10</f>
        <v>1959852.6099999999</v>
      </c>
      <c r="R10" s="120">
        <f t="shared" ref="R10" si="0">J10+L10+N10+P10</f>
        <v>42412828000</v>
      </c>
      <c r="S10" s="137">
        <f>E10+G10-I10</f>
        <v>36950172.810000002</v>
      </c>
      <c r="T10" s="117">
        <f>F10+H10-J10</f>
        <v>806436506795</v>
      </c>
      <c r="U10" s="119"/>
      <c r="V10" s="119"/>
      <c r="W10" s="119"/>
      <c r="X10" s="119"/>
      <c r="Y10" s="119"/>
      <c r="Z10" s="101"/>
      <c r="AA10" s="102"/>
      <c r="AB10" s="121"/>
    </row>
    <row r="11" spans="1:28" ht="60" x14ac:dyDescent="0.25">
      <c r="A11" s="118">
        <v>3</v>
      </c>
      <c r="B11" s="61" t="s">
        <v>27</v>
      </c>
      <c r="C11" s="118" t="s">
        <v>28</v>
      </c>
      <c r="D11" s="32" t="s">
        <v>29</v>
      </c>
      <c r="E11" s="128">
        <f>152246.87+740246.69-(101463.44+65927.6)-(12505.54+5539.47)-617.29+533895.68-263200</f>
        <v>977135.89999999991</v>
      </c>
      <c r="F11" s="169">
        <v>24281100654</v>
      </c>
      <c r="G11" s="142">
        <f>335558.049-399.26</f>
        <v>335158.78899999999</v>
      </c>
      <c r="H11" s="143">
        <v>8632000000</v>
      </c>
      <c r="I11" s="142">
        <v>262837.46000000002</v>
      </c>
      <c r="J11" s="120">
        <v>7097437000</v>
      </c>
      <c r="K11" s="142">
        <f>9080.24+9669.22</f>
        <v>18749.46</v>
      </c>
      <c r="L11" s="120">
        <f>602098467+315429952+266800000-N11</f>
        <v>506740000</v>
      </c>
      <c r="M11" s="142">
        <v>25060.43</v>
      </c>
      <c r="N11" s="120">
        <f>362158467+315429952</f>
        <v>677588419</v>
      </c>
      <c r="O11" s="143"/>
      <c r="P11" s="117">
        <v>0</v>
      </c>
      <c r="Q11" s="142">
        <f t="shared" ref="Q11:R12" si="1">I11+K11+M11+O11</f>
        <v>306647.35000000003</v>
      </c>
      <c r="R11" s="120">
        <f>J11+L11+N11+P11</f>
        <v>8281765419</v>
      </c>
      <c r="S11" s="142">
        <f t="shared" ref="S11:S12" si="2">E11+G11-I11</f>
        <v>1049457.2289999998</v>
      </c>
      <c r="T11" s="120">
        <f>F11+H11-J11</f>
        <v>25815663654</v>
      </c>
      <c r="U11" s="136">
        <v>0</v>
      </c>
      <c r="V11" s="136">
        <v>0</v>
      </c>
      <c r="W11" s="136">
        <v>0</v>
      </c>
      <c r="X11" s="136">
        <v>0</v>
      </c>
      <c r="Y11" s="136">
        <v>0</v>
      </c>
      <c r="Z11" s="84"/>
      <c r="AA11" s="87"/>
    </row>
    <row r="12" spans="1:28" ht="75" x14ac:dyDescent="0.25">
      <c r="A12" s="118">
        <v>4</v>
      </c>
      <c r="B12" s="61" t="s">
        <v>69</v>
      </c>
      <c r="C12" s="118" t="s">
        <v>70</v>
      </c>
      <c r="D12" s="32" t="s">
        <v>71</v>
      </c>
      <c r="E12" s="130">
        <f>(382169600+295631930)*0.3</f>
        <v>203340459</v>
      </c>
      <c r="F12" s="141">
        <v>3799544425</v>
      </c>
      <c r="G12" s="134">
        <v>769719549</v>
      </c>
      <c r="H12" s="141">
        <f>1096869264+10929437775+1369755118</f>
        <v>13396062157</v>
      </c>
      <c r="I12" s="143"/>
      <c r="J12" s="144"/>
      <c r="K12" s="143"/>
      <c r="L12" s="144"/>
      <c r="M12" s="143"/>
      <c r="N12" s="120"/>
      <c r="O12" s="145">
        <f>254175.54+321539.09</f>
        <v>575714.63</v>
      </c>
      <c r="P12" s="120">
        <v>10951000</v>
      </c>
      <c r="Q12" s="145">
        <f t="shared" si="1"/>
        <v>575714.63</v>
      </c>
      <c r="R12" s="120">
        <f t="shared" si="1"/>
        <v>10951000</v>
      </c>
      <c r="S12" s="145">
        <f t="shared" si="2"/>
        <v>973060008</v>
      </c>
      <c r="T12" s="120">
        <f>+F12+H12-J12</f>
        <v>17195606582</v>
      </c>
      <c r="U12" s="136"/>
      <c r="V12" s="136"/>
      <c r="W12" s="136"/>
      <c r="X12" s="136"/>
      <c r="Y12" s="136"/>
      <c r="Z12" s="84"/>
      <c r="AA12" s="87"/>
    </row>
    <row r="13" spans="1:28" ht="105" x14ac:dyDescent="0.25">
      <c r="A13" s="118">
        <v>5</v>
      </c>
      <c r="B13" s="61" t="s">
        <v>83</v>
      </c>
      <c r="C13" s="118" t="s">
        <v>68</v>
      </c>
      <c r="D13" s="32" t="s">
        <v>56</v>
      </c>
      <c r="E13" s="127">
        <f>788660.64*0.7 + (386079.97+67331.34+9482.85+948891.86+281837.3+114850.54+1546.63+135232.07+191857.24+47137.99+791846.01+718588.82+344774.67+31875.67)*0.7</f>
        <v>3401995.5199999996</v>
      </c>
      <c r="F13" s="141">
        <f>12976316500+67939168670</f>
        <v>80915485170</v>
      </c>
      <c r="G13" s="127">
        <f>(102975.39+72827.58+22294.23)*0.7</f>
        <v>138668.04</v>
      </c>
      <c r="H13" s="141">
        <f>3257222470</f>
        <v>3257222470</v>
      </c>
      <c r="I13" s="141">
        <v>0</v>
      </c>
      <c r="J13" s="141">
        <v>0</v>
      </c>
      <c r="K13" s="127">
        <v>124988.3</v>
      </c>
      <c r="L13" s="141">
        <v>2998469317</v>
      </c>
      <c r="M13" s="127">
        <f>41228.3333333333+1184.16666666667+16991.25</f>
        <v>59403.749999999971</v>
      </c>
      <c r="N13" s="141">
        <f>988250000+28385000+407773010</f>
        <v>1424408010</v>
      </c>
      <c r="O13" s="127">
        <f>1381.52777777778+2586.79</f>
        <v>3968.3177777777801</v>
      </c>
      <c r="P13" s="141">
        <f>33110000+62080373</f>
        <v>95190373</v>
      </c>
      <c r="Q13" s="127">
        <f>I13+K13+M13+O13</f>
        <v>188360.36777777778</v>
      </c>
      <c r="R13" s="120">
        <f>J13+L13+N13+P13</f>
        <v>4518067700</v>
      </c>
      <c r="S13" s="127">
        <f>E13+G13-I13</f>
        <v>3540663.5599999996</v>
      </c>
      <c r="T13" s="120">
        <f>+F13+H13-J13</f>
        <v>84172707640</v>
      </c>
      <c r="U13" s="136">
        <v>0</v>
      </c>
      <c r="V13" s="136">
        <v>0</v>
      </c>
      <c r="W13" s="136">
        <v>0</v>
      </c>
      <c r="X13" s="136">
        <v>0</v>
      </c>
      <c r="Y13" s="136">
        <v>0</v>
      </c>
      <c r="Z13" s="84"/>
      <c r="AA13" s="87"/>
      <c r="AB13" s="35"/>
    </row>
    <row r="14" spans="1:28" ht="47.25" x14ac:dyDescent="0.25">
      <c r="A14" s="118">
        <v>6</v>
      </c>
      <c r="B14" s="123" t="s">
        <v>87</v>
      </c>
      <c r="C14" s="124" t="s">
        <v>78</v>
      </c>
      <c r="D14" s="124" t="s">
        <v>56</v>
      </c>
      <c r="E14" s="131">
        <v>1770056.57</v>
      </c>
      <c r="F14" s="132">
        <v>40713725000</v>
      </c>
      <c r="G14" s="131">
        <v>888355.09499999997</v>
      </c>
      <c r="H14" s="132">
        <v>20908722250</v>
      </c>
      <c r="I14" s="135">
        <v>208230</v>
      </c>
      <c r="J14" s="146">
        <v>5006893000</v>
      </c>
      <c r="K14" s="147">
        <v>39745.040000000001</v>
      </c>
      <c r="L14" s="146">
        <v>957354000</v>
      </c>
      <c r="M14" s="148"/>
      <c r="N14" s="141"/>
      <c r="O14" s="148"/>
      <c r="P14" s="141"/>
      <c r="Q14" s="127">
        <f t="shared" ref="Q14:R15" si="3">I14+K14+M14+O14</f>
        <v>247975.04000000001</v>
      </c>
      <c r="R14" s="120">
        <f t="shared" si="3"/>
        <v>5964247000</v>
      </c>
      <c r="S14" s="135">
        <f>E14+G14-I14</f>
        <v>2450181.665</v>
      </c>
      <c r="T14" s="120">
        <f>F14+H14-J14</f>
        <v>56615554250</v>
      </c>
      <c r="U14" s="136"/>
      <c r="V14" s="136"/>
      <c r="W14" s="136"/>
      <c r="X14" s="136"/>
      <c r="Y14" s="136"/>
      <c r="Z14" s="84"/>
      <c r="AA14" s="87"/>
      <c r="AB14" s="35"/>
    </row>
    <row r="15" spans="1:28" ht="90" x14ac:dyDescent="0.25">
      <c r="A15" s="118">
        <v>7</v>
      </c>
      <c r="B15" s="125" t="s">
        <v>88</v>
      </c>
      <c r="C15" s="129" t="s">
        <v>68</v>
      </c>
      <c r="D15" s="129" t="s">
        <v>56</v>
      </c>
      <c r="E15" s="133">
        <v>2960112</v>
      </c>
      <c r="F15" s="143">
        <v>68112025000</v>
      </c>
      <c r="G15" s="116">
        <v>0</v>
      </c>
      <c r="H15" s="141">
        <v>0</v>
      </c>
      <c r="I15" s="135">
        <v>185007</v>
      </c>
      <c r="J15" s="141">
        <v>4460608000</v>
      </c>
      <c r="K15" s="135">
        <v>29601.119999999999</v>
      </c>
      <c r="L15" s="141">
        <v>1404603000</v>
      </c>
      <c r="M15" s="148"/>
      <c r="N15" s="141"/>
      <c r="O15" s="135">
        <v>7284.65</v>
      </c>
      <c r="P15" s="141">
        <v>175661000</v>
      </c>
      <c r="Q15" s="127">
        <f t="shared" si="3"/>
        <v>221892.77</v>
      </c>
      <c r="R15" s="120">
        <f t="shared" si="3"/>
        <v>6040872000</v>
      </c>
      <c r="S15" s="135">
        <f>E15+G15-I15</f>
        <v>2775105</v>
      </c>
      <c r="T15" s="120">
        <f>F15+H15-J15</f>
        <v>63651417000</v>
      </c>
      <c r="U15" s="136"/>
      <c r="V15" s="136"/>
      <c r="W15" s="136"/>
      <c r="X15" s="136"/>
      <c r="Y15" s="136"/>
      <c r="Z15" s="84"/>
      <c r="AA15" s="87"/>
      <c r="AB15" s="35"/>
    </row>
    <row r="16" spans="1:28" s="44" customFormat="1" ht="18" customHeight="1" x14ac:dyDescent="0.2">
      <c r="A16" s="212"/>
      <c r="B16" s="47" t="s">
        <v>13</v>
      </c>
      <c r="C16" s="46"/>
      <c r="D16" s="47"/>
      <c r="E16" s="48"/>
      <c r="F16" s="49"/>
      <c r="G16" s="48"/>
      <c r="H16" s="48"/>
      <c r="I16" s="48"/>
      <c r="J16" s="48"/>
      <c r="K16" s="48"/>
      <c r="L16" s="48"/>
      <c r="M16" s="48"/>
      <c r="N16" s="48"/>
      <c r="O16" s="48"/>
      <c r="P16" s="104"/>
      <c r="Q16" s="104"/>
      <c r="R16" s="48"/>
      <c r="S16" s="48"/>
      <c r="T16" s="49"/>
      <c r="U16" s="156"/>
      <c r="V16" s="156"/>
      <c r="W16" s="156"/>
      <c r="X16" s="156"/>
      <c r="Y16" s="156"/>
      <c r="AA16" s="85"/>
      <c r="AB16" s="85"/>
    </row>
    <row r="17" spans="1:28" s="162" customFormat="1" ht="20.25" customHeight="1" x14ac:dyDescent="0.2">
      <c r="A17" s="157"/>
      <c r="B17" s="158" t="s">
        <v>56</v>
      </c>
      <c r="C17" s="159"/>
      <c r="D17" s="158"/>
      <c r="E17" s="160">
        <f>E9+E10+E13+E14+E15</f>
        <v>43748607.078702755</v>
      </c>
      <c r="F17" s="160"/>
      <c r="G17" s="160">
        <f t="shared" ref="G17:S17" si="4">G9+G10+G13+G14+G15</f>
        <v>6521945.924999998</v>
      </c>
      <c r="H17" s="160"/>
      <c r="I17" s="160">
        <f t="shared" si="4"/>
        <v>2533269.61</v>
      </c>
      <c r="J17" s="160"/>
      <c r="K17" s="160">
        <f t="shared" si="4"/>
        <v>237539.60160879631</v>
      </c>
      <c r="L17" s="160"/>
      <c r="M17" s="160">
        <f t="shared" si="4"/>
        <v>59403.749999999971</v>
      </c>
      <c r="N17" s="160"/>
      <c r="O17" s="160">
        <f t="shared" si="4"/>
        <v>11252.96777777778</v>
      </c>
      <c r="P17" s="160"/>
      <c r="Q17" s="160">
        <f t="shared" si="4"/>
        <v>2841465.9293865743</v>
      </c>
      <c r="R17" s="160"/>
      <c r="S17" s="160">
        <f t="shared" si="4"/>
        <v>47737283.39370276</v>
      </c>
      <c r="T17" s="160"/>
      <c r="U17" s="164">
        <f>U9+U10+U13</f>
        <v>0</v>
      </c>
      <c r="V17" s="164">
        <f>V9+V10+V13</f>
        <v>0</v>
      </c>
      <c r="W17" s="164">
        <f>W9+W10+W13</f>
        <v>0</v>
      </c>
      <c r="X17" s="164">
        <f>X9+X10+X13</f>
        <v>0</v>
      </c>
      <c r="Y17" s="164">
        <f>Y9+Y10+Y13</f>
        <v>0</v>
      </c>
      <c r="AA17" s="163"/>
      <c r="AB17" s="163"/>
    </row>
    <row r="18" spans="1:28" s="162" customFormat="1" ht="20.25" customHeight="1" x14ac:dyDescent="0.2">
      <c r="A18" s="157"/>
      <c r="B18" s="158" t="s">
        <v>29</v>
      </c>
      <c r="C18" s="159"/>
      <c r="D18" s="158"/>
      <c r="E18" s="160">
        <f>E11</f>
        <v>977135.89999999991</v>
      </c>
      <c r="F18" s="160"/>
      <c r="G18" s="160">
        <f t="shared" ref="G18:Y18" si="5">G11</f>
        <v>335158.78899999999</v>
      </c>
      <c r="H18" s="160"/>
      <c r="I18" s="160">
        <f t="shared" ref="I18" si="6">I11</f>
        <v>262837.46000000002</v>
      </c>
      <c r="J18" s="160"/>
      <c r="K18" s="160">
        <f t="shared" ref="K18" si="7">K11</f>
        <v>18749.46</v>
      </c>
      <c r="L18" s="160"/>
      <c r="M18" s="165">
        <f t="shared" ref="M18" si="8">M11</f>
        <v>25060.43</v>
      </c>
      <c r="N18" s="160"/>
      <c r="O18" s="160">
        <f t="shared" ref="O18" si="9">O11</f>
        <v>0</v>
      </c>
      <c r="P18" s="166"/>
      <c r="Q18" s="160">
        <f t="shared" ref="Q18" si="10">Q11</f>
        <v>306647.35000000003</v>
      </c>
      <c r="R18" s="160"/>
      <c r="S18" s="160">
        <f t="shared" si="5"/>
        <v>1049457.2289999998</v>
      </c>
      <c r="T18" s="160"/>
      <c r="U18" s="164">
        <f t="shared" si="5"/>
        <v>0</v>
      </c>
      <c r="V18" s="164">
        <f t="shared" si="5"/>
        <v>0</v>
      </c>
      <c r="W18" s="164">
        <f t="shared" si="5"/>
        <v>0</v>
      </c>
      <c r="X18" s="164">
        <f t="shared" si="5"/>
        <v>0</v>
      </c>
      <c r="Y18" s="164">
        <f t="shared" si="5"/>
        <v>0</v>
      </c>
      <c r="AA18" s="163"/>
      <c r="AB18" s="163"/>
    </row>
    <row r="19" spans="1:28" s="162" customFormat="1" ht="20.25" customHeight="1" x14ac:dyDescent="0.2">
      <c r="A19" s="157"/>
      <c r="B19" s="158" t="s">
        <v>71</v>
      </c>
      <c r="C19" s="159"/>
      <c r="D19" s="158"/>
      <c r="E19" s="161">
        <f>E12</f>
        <v>203340459</v>
      </c>
      <c r="F19" s="160"/>
      <c r="G19" s="161">
        <f>G12</f>
        <v>769719549</v>
      </c>
      <c r="H19" s="160"/>
      <c r="I19" s="160">
        <f>I12</f>
        <v>0</v>
      </c>
      <c r="J19" s="160"/>
      <c r="K19" s="160">
        <f>K12</f>
        <v>0</v>
      </c>
      <c r="L19" s="160"/>
      <c r="M19" s="160">
        <f>M12</f>
        <v>0</v>
      </c>
      <c r="N19" s="160"/>
      <c r="O19" s="160">
        <f>O12</f>
        <v>575714.63</v>
      </c>
      <c r="P19" s="166"/>
      <c r="Q19" s="160">
        <f>Q12</f>
        <v>575714.63</v>
      </c>
      <c r="R19" s="160"/>
      <c r="S19" s="161">
        <f>S12</f>
        <v>973060008</v>
      </c>
      <c r="T19" s="160"/>
      <c r="U19" s="167"/>
      <c r="V19" s="167"/>
      <c r="W19" s="167"/>
      <c r="X19" s="167"/>
      <c r="Y19" s="167"/>
      <c r="AA19" s="163"/>
      <c r="AB19" s="163"/>
    </row>
    <row r="20" spans="1:28" s="162" customFormat="1" ht="20.25" customHeight="1" x14ac:dyDescent="0.2">
      <c r="A20" s="157"/>
      <c r="B20" s="158" t="s">
        <v>58</v>
      </c>
      <c r="C20" s="159"/>
      <c r="D20" s="158"/>
      <c r="E20" s="160"/>
      <c r="F20" s="161">
        <f>F9+F10+F11+F12+F13+F14+F15</f>
        <v>985865416675</v>
      </c>
      <c r="G20" s="161"/>
      <c r="H20" s="161">
        <f t="shared" ref="H20:T20" si="11">H9+H10+H11+H12+H13+H14+H15</f>
        <v>177497775238</v>
      </c>
      <c r="I20" s="161"/>
      <c r="J20" s="161">
        <f t="shared" si="11"/>
        <v>63313871000</v>
      </c>
      <c r="K20" s="161"/>
      <c r="L20" s="161">
        <f t="shared" si="11"/>
        <v>6906517317</v>
      </c>
      <c r="M20" s="161"/>
      <c r="N20" s="161">
        <f t="shared" si="11"/>
        <v>2101996429</v>
      </c>
      <c r="O20" s="161"/>
      <c r="P20" s="161">
        <f t="shared" si="11"/>
        <v>281802373</v>
      </c>
      <c r="Q20" s="161"/>
      <c r="R20" s="161">
        <f>R9+R10+R11+R12+R13+R14+R15</f>
        <v>72604187119</v>
      </c>
      <c r="S20" s="161"/>
      <c r="T20" s="161">
        <f t="shared" si="11"/>
        <v>1100049320913</v>
      </c>
      <c r="U20" s="157"/>
      <c r="V20" s="157"/>
      <c r="W20" s="157"/>
      <c r="X20" s="157"/>
      <c r="Y20" s="157"/>
      <c r="AA20" s="163"/>
      <c r="AB20" s="163"/>
    </row>
    <row r="21" spans="1:28" s="85" customFormat="1" ht="18" customHeight="1" x14ac:dyDescent="0.2">
      <c r="A21" s="154"/>
      <c r="B21" s="107"/>
      <c r="C21" s="106"/>
      <c r="D21" s="107"/>
      <c r="E21" s="108"/>
      <c r="F21" s="109"/>
      <c r="G21" s="106"/>
      <c r="H21" s="109"/>
      <c r="I21" s="109"/>
      <c r="J21" s="109"/>
      <c r="K21" s="109"/>
      <c r="L21" s="109"/>
      <c r="M21" s="109"/>
      <c r="N21" s="109"/>
      <c r="O21" s="109"/>
      <c r="P21" s="109"/>
      <c r="Q21" s="110"/>
      <c r="R21" s="109"/>
      <c r="S21" s="106"/>
      <c r="T21" s="109"/>
      <c r="U21" s="154"/>
      <c r="V21" s="154"/>
      <c r="W21" s="154"/>
      <c r="X21" s="154"/>
      <c r="Y21" s="154"/>
    </row>
    <row r="22" spans="1:28" ht="18" customHeight="1" x14ac:dyDescent="0.25">
      <c r="B22" s="50"/>
      <c r="L22" s="209">
        <f>L20+N20+P20</f>
        <v>9290316119</v>
      </c>
    </row>
    <row r="23" spans="1:28" ht="18" customHeight="1" x14ac:dyDescent="0.25">
      <c r="L23" s="209">
        <f>N11</f>
        <v>677588419</v>
      </c>
    </row>
    <row r="24" spans="1:28" ht="18" customHeight="1" x14ac:dyDescent="0.25">
      <c r="L24" s="209">
        <f>L22-L23</f>
        <v>8612727700</v>
      </c>
    </row>
  </sheetData>
  <mergeCells count="26">
    <mergeCell ref="T1:Y1"/>
    <mergeCell ref="A2:Y2"/>
    <mergeCell ref="A3:Y3"/>
    <mergeCell ref="A4:Y4"/>
    <mergeCell ref="A5:A7"/>
    <mergeCell ref="B5:B7"/>
    <mergeCell ref="C5:C7"/>
    <mergeCell ref="D5:D7"/>
    <mergeCell ref="E5:E7"/>
    <mergeCell ref="F5:F7"/>
    <mergeCell ref="Y6:Y7"/>
    <mergeCell ref="G5:G7"/>
    <mergeCell ref="H5:H7"/>
    <mergeCell ref="I5:R5"/>
    <mergeCell ref="S5:S7"/>
    <mergeCell ref="T5:T7"/>
    <mergeCell ref="U5:Y5"/>
    <mergeCell ref="I6:J6"/>
    <mergeCell ref="K6:L6"/>
    <mergeCell ref="M6:N6"/>
    <mergeCell ref="O6:P6"/>
    <mergeCell ref="Q6:R6"/>
    <mergeCell ref="U6:U7"/>
    <mergeCell ref="V6:V7"/>
    <mergeCell ref="W6:W7"/>
    <mergeCell ref="X6:X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D12" sqref="D12"/>
    </sheetView>
  </sheetViews>
  <sheetFormatPr defaultRowHeight="15" x14ac:dyDescent="0.25"/>
  <cols>
    <col min="1" max="1" width="3.7109375" customWidth="1"/>
    <col min="2" max="2" width="49.140625" customWidth="1"/>
    <col min="3" max="3" width="17.5703125" style="29" customWidth="1"/>
    <col min="4" max="4" width="17.7109375" style="29" customWidth="1"/>
    <col min="5" max="5" width="16.7109375" style="29" customWidth="1"/>
    <col min="6" max="6" width="16.42578125" style="29" customWidth="1"/>
    <col min="7" max="7" width="17" style="29" customWidth="1"/>
    <col min="8" max="8" width="18.140625" style="29" customWidth="1"/>
    <col min="9" max="9" width="17.5703125" style="29" customWidth="1"/>
  </cols>
  <sheetData>
    <row r="1" spans="1:9" s="1" customFormat="1" ht="15.75" x14ac:dyDescent="0.25">
      <c r="A1" s="247" t="s">
        <v>32</v>
      </c>
      <c r="B1" s="247"/>
      <c r="C1" s="247"/>
      <c r="D1" s="6"/>
      <c r="E1" s="6"/>
      <c r="F1" s="248" t="s">
        <v>33</v>
      </c>
      <c r="G1" s="248"/>
      <c r="H1" s="248"/>
      <c r="I1" s="77"/>
    </row>
    <row r="2" spans="1:9" s="1" customFormat="1" ht="15" customHeight="1" x14ac:dyDescent="0.25">
      <c r="A2" s="249" t="s">
        <v>34</v>
      </c>
      <c r="B2" s="249"/>
      <c r="C2" s="249"/>
      <c r="D2" s="8"/>
      <c r="E2" s="8"/>
      <c r="F2" s="250" t="s">
        <v>35</v>
      </c>
      <c r="G2" s="250"/>
      <c r="H2" s="250"/>
      <c r="I2" s="77"/>
    </row>
    <row r="3" spans="1:9" s="1" customFormat="1" x14ac:dyDescent="0.25">
      <c r="A3" s="7"/>
      <c r="B3" s="7"/>
      <c r="C3" s="7"/>
      <c r="D3" s="7"/>
      <c r="E3" s="7"/>
      <c r="F3" s="250"/>
      <c r="G3" s="250"/>
      <c r="H3" s="250"/>
      <c r="I3" s="77"/>
    </row>
    <row r="4" spans="1:9" s="31" customFormat="1" ht="15.75" x14ac:dyDescent="0.25">
      <c r="A4" s="251" t="s">
        <v>85</v>
      </c>
      <c r="B4" s="251"/>
      <c r="C4" s="251"/>
      <c r="D4" s="251"/>
      <c r="E4" s="251"/>
      <c r="F4" s="251"/>
      <c r="G4" s="251"/>
      <c r="H4" s="251"/>
      <c r="I4" s="78"/>
    </row>
    <row r="5" spans="1:9" s="1" customFormat="1" x14ac:dyDescent="0.25">
      <c r="A5" s="3"/>
      <c r="B5" s="3"/>
      <c r="C5" s="3"/>
      <c r="D5" s="3"/>
      <c r="E5" s="3"/>
      <c r="F5" s="9"/>
      <c r="G5" s="220" t="s">
        <v>76</v>
      </c>
      <c r="H5" s="220"/>
      <c r="I5" s="77"/>
    </row>
    <row r="6" spans="1:9" s="1" customFormat="1" ht="45" customHeight="1" x14ac:dyDescent="0.25">
      <c r="A6" s="240" t="s">
        <v>36</v>
      </c>
      <c r="B6" s="240" t="s">
        <v>37</v>
      </c>
      <c r="C6" s="242" t="s">
        <v>38</v>
      </c>
      <c r="D6" s="242" t="s">
        <v>39</v>
      </c>
      <c r="E6" s="244" t="s">
        <v>40</v>
      </c>
      <c r="F6" s="245"/>
      <c r="G6" s="246"/>
      <c r="H6" s="242" t="s">
        <v>82</v>
      </c>
      <c r="I6" s="77"/>
    </row>
    <row r="7" spans="1:9" s="1" customFormat="1" x14ac:dyDescent="0.25">
      <c r="A7" s="241"/>
      <c r="B7" s="241"/>
      <c r="C7" s="243"/>
      <c r="D7" s="243"/>
      <c r="E7" s="10" t="s">
        <v>4</v>
      </c>
      <c r="F7" s="10" t="s">
        <v>41</v>
      </c>
      <c r="G7" s="10" t="s">
        <v>42</v>
      </c>
      <c r="H7" s="243"/>
      <c r="I7" s="77"/>
    </row>
    <row r="8" spans="1:9" s="7" customFormat="1" x14ac:dyDescent="0.25">
      <c r="A8" s="11" t="s">
        <v>43</v>
      </c>
      <c r="B8" s="11" t="s">
        <v>44</v>
      </c>
      <c r="C8" s="11">
        <v>1</v>
      </c>
      <c r="D8" s="11">
        <v>2</v>
      </c>
      <c r="E8" s="11">
        <v>3</v>
      </c>
      <c r="F8" s="11">
        <v>4</v>
      </c>
      <c r="G8" s="11">
        <v>5</v>
      </c>
      <c r="H8" s="12" t="s">
        <v>45</v>
      </c>
      <c r="I8" s="6"/>
    </row>
    <row r="9" spans="1:9" s="15" customFormat="1" ht="19.5" customHeight="1" x14ac:dyDescent="0.25">
      <c r="A9" s="13"/>
      <c r="B9" s="14" t="s">
        <v>46</v>
      </c>
      <c r="C9" s="70">
        <f>C13</f>
        <v>877039666675</v>
      </c>
      <c r="D9" s="70">
        <f t="shared" ref="D9:H9" si="0">D13</f>
        <v>156589052988</v>
      </c>
      <c r="E9" s="70">
        <f t="shared" si="0"/>
        <v>53846370000</v>
      </c>
      <c r="F9" s="70">
        <f t="shared" si="0"/>
        <v>6752698119</v>
      </c>
      <c r="G9" s="70">
        <f t="shared" si="0"/>
        <v>60599068119</v>
      </c>
      <c r="H9" s="70">
        <f t="shared" si="0"/>
        <v>979782349663</v>
      </c>
      <c r="I9" s="79"/>
    </row>
    <row r="10" spans="1:9" s="22" customFormat="1" ht="20.45" customHeight="1" x14ac:dyDescent="0.25">
      <c r="A10" s="16" t="s">
        <v>21</v>
      </c>
      <c r="B10" s="17" t="s">
        <v>47</v>
      </c>
      <c r="C10" s="18"/>
      <c r="D10" s="18"/>
      <c r="E10" s="19"/>
      <c r="F10" s="19"/>
      <c r="G10" s="20"/>
      <c r="H10" s="21"/>
      <c r="I10" s="80"/>
    </row>
    <row r="11" spans="1:9" s="22" customFormat="1" ht="20.45" customHeight="1" x14ac:dyDescent="0.25">
      <c r="A11" s="16" t="s">
        <v>25</v>
      </c>
      <c r="B11" s="23" t="s">
        <v>48</v>
      </c>
      <c r="C11" s="18"/>
      <c r="D11" s="18"/>
      <c r="E11" s="19"/>
      <c r="F11" s="19"/>
      <c r="G11" s="20"/>
      <c r="H11" s="24"/>
      <c r="I11" s="80"/>
    </row>
    <row r="12" spans="1:9" s="22" customFormat="1" ht="20.45" customHeight="1" x14ac:dyDescent="0.25">
      <c r="A12" s="16" t="s">
        <v>30</v>
      </c>
      <c r="B12" s="23" t="s">
        <v>49</v>
      </c>
      <c r="C12" s="18"/>
      <c r="D12" s="18"/>
      <c r="E12" s="19"/>
      <c r="F12" s="19"/>
      <c r="G12" s="20"/>
      <c r="H12" s="24"/>
      <c r="I12" s="80"/>
    </row>
    <row r="13" spans="1:9" s="22" customFormat="1" ht="20.45" customHeight="1" x14ac:dyDescent="0.25">
      <c r="A13" s="16" t="s">
        <v>50</v>
      </c>
      <c r="B13" s="23" t="s">
        <v>51</v>
      </c>
      <c r="C13" s="72">
        <f>SUM(C14:C18)</f>
        <v>877039666675</v>
      </c>
      <c r="D13" s="72">
        <f t="shared" ref="D13:H13" si="1">SUM(D14:D18)</f>
        <v>156589052988</v>
      </c>
      <c r="E13" s="72">
        <f t="shared" si="1"/>
        <v>53846370000</v>
      </c>
      <c r="F13" s="72">
        <f t="shared" si="1"/>
        <v>6752698119</v>
      </c>
      <c r="G13" s="72">
        <f t="shared" si="1"/>
        <v>60599068119</v>
      </c>
      <c r="H13" s="72">
        <f t="shared" si="1"/>
        <v>979782349663</v>
      </c>
      <c r="I13" s="80"/>
    </row>
    <row r="14" spans="1:9" s="27" customFormat="1" ht="31.5" x14ac:dyDescent="0.25">
      <c r="A14" s="25">
        <v>1</v>
      </c>
      <c r="B14" s="26" t="s">
        <v>12</v>
      </c>
      <c r="C14" s="73">
        <f>'1.01'!F9</f>
        <v>50497969991.999992</v>
      </c>
      <c r="D14" s="73">
        <f>'1.01'!H9</f>
        <v>0</v>
      </c>
      <c r="E14" s="57">
        <f>'1.01'!J9</f>
        <v>4336105000</v>
      </c>
      <c r="F14" s="57">
        <f>'1.01'!L9</f>
        <v>1039351000</v>
      </c>
      <c r="G14" s="76">
        <f>E14+F14</f>
        <v>5375456000</v>
      </c>
      <c r="H14" s="73">
        <f>C14+D14-E14</f>
        <v>46161864991.999992</v>
      </c>
      <c r="I14" s="81"/>
    </row>
    <row r="15" spans="1:9" s="40" customFormat="1" ht="35.25" customHeight="1" x14ac:dyDescent="0.25">
      <c r="A15" s="39">
        <v>2</v>
      </c>
      <c r="B15" s="26" t="s">
        <v>24</v>
      </c>
      <c r="C15" s="74">
        <f>'1.01'!F10</f>
        <v>717545566434</v>
      </c>
      <c r="D15" s="74">
        <f>'1.01'!H10</f>
        <v>131303768361</v>
      </c>
      <c r="E15" s="75">
        <f>'1.01'!J10</f>
        <v>42412828000</v>
      </c>
      <c r="F15" s="75">
        <f>'1.01'!L10+'1.01'!N10+'1.01'!P10</f>
        <v>0</v>
      </c>
      <c r="G15" s="76">
        <f>E15+F15</f>
        <v>42412828000</v>
      </c>
      <c r="H15" s="74">
        <f>+C15+D15-E15</f>
        <v>806436506795</v>
      </c>
      <c r="I15" s="82"/>
    </row>
    <row r="16" spans="1:9" s="40" customFormat="1" ht="35.25" customHeight="1" x14ac:dyDescent="0.25">
      <c r="A16" s="39">
        <v>3</v>
      </c>
      <c r="B16" s="26" t="s">
        <v>52</v>
      </c>
      <c r="C16" s="69">
        <f>'1.01'!F11</f>
        <v>24281100654</v>
      </c>
      <c r="D16" s="69">
        <f>'1.01'!H11</f>
        <v>8632000000</v>
      </c>
      <c r="E16" s="69">
        <f>'1.01'!J11</f>
        <v>7097437000</v>
      </c>
      <c r="F16" s="69">
        <f>'1.01'!L11+'1.01'!N11+'1.01'!P11</f>
        <v>1184328419</v>
      </c>
      <c r="G16" s="69">
        <f>E16+F16</f>
        <v>8281765419</v>
      </c>
      <c r="H16" s="74">
        <f t="shared" ref="H16:H18" si="2">+C16+D16-E16</f>
        <v>25815663654</v>
      </c>
      <c r="I16" s="82"/>
    </row>
    <row r="17" spans="1:9" s="40" customFormat="1" ht="35.25" customHeight="1" x14ac:dyDescent="0.25">
      <c r="A17" s="39">
        <v>4</v>
      </c>
      <c r="B17" s="26" t="s">
        <v>69</v>
      </c>
      <c r="C17" s="69">
        <f>'1.01'!F12</f>
        <v>3799544425</v>
      </c>
      <c r="D17" s="69">
        <f>'1.01'!H12</f>
        <v>13396062157</v>
      </c>
      <c r="E17" s="69">
        <v>0</v>
      </c>
      <c r="F17" s="69">
        <f>'1.01'!L12+'1.01'!N12+'1.01'!P12</f>
        <v>10951000</v>
      </c>
      <c r="G17" s="69">
        <f>E17+F17</f>
        <v>10951000</v>
      </c>
      <c r="H17" s="74">
        <f t="shared" si="2"/>
        <v>17195606582</v>
      </c>
      <c r="I17" s="82"/>
    </row>
    <row r="18" spans="1:9" s="40" customFormat="1" ht="47.25" hidden="1" x14ac:dyDescent="0.25">
      <c r="A18" s="39">
        <v>5</v>
      </c>
      <c r="B18" s="105" t="s">
        <v>83</v>
      </c>
      <c r="C18" s="69">
        <f>'1.01'!F13</f>
        <v>80915485170</v>
      </c>
      <c r="D18" s="69">
        <f>'1.01'!H13</f>
        <v>3257222470</v>
      </c>
      <c r="E18" s="69">
        <f>'1.01'!J13</f>
        <v>0</v>
      </c>
      <c r="F18" s="69">
        <f>'1.01'!L13+'1.01'!N13+'1.01'!P13</f>
        <v>4518067700</v>
      </c>
      <c r="G18" s="69">
        <f>E18+F18</f>
        <v>4518067700</v>
      </c>
      <c r="H18" s="74">
        <f t="shared" si="2"/>
        <v>84172707640</v>
      </c>
      <c r="I18" s="82"/>
    </row>
    <row r="19" spans="1:9" s="22" customFormat="1" ht="20.45" customHeight="1" x14ac:dyDescent="0.25">
      <c r="A19" s="16" t="s">
        <v>53</v>
      </c>
      <c r="B19" s="23" t="s">
        <v>54</v>
      </c>
      <c r="C19" s="28"/>
      <c r="D19" s="28"/>
      <c r="E19" s="19"/>
      <c r="F19" s="19"/>
      <c r="G19" s="20"/>
      <c r="H19" s="24"/>
      <c r="I19" s="80"/>
    </row>
    <row r="20" spans="1:9" ht="15.75" x14ac:dyDescent="0.25">
      <c r="C20" s="58"/>
      <c r="D20" s="58"/>
      <c r="E20" s="59"/>
      <c r="F20" s="58"/>
      <c r="G20" s="60"/>
      <c r="H20" s="58"/>
    </row>
    <row r="21" spans="1:9" x14ac:dyDescent="0.25">
      <c r="E21" s="238" t="s">
        <v>84</v>
      </c>
      <c r="F21" s="238"/>
      <c r="G21" s="238"/>
    </row>
    <row r="22" spans="1:9" x14ac:dyDescent="0.25">
      <c r="B22" s="4" t="s">
        <v>16</v>
      </c>
      <c r="E22" s="239" t="s">
        <v>15</v>
      </c>
      <c r="F22" s="239"/>
      <c r="G22" s="239"/>
    </row>
    <row r="23" spans="1:9" x14ac:dyDescent="0.25">
      <c r="B23" s="2"/>
      <c r="E23" s="2"/>
      <c r="F23" s="2"/>
      <c r="G23" s="2"/>
    </row>
    <row r="24" spans="1:9" x14ac:dyDescent="0.25">
      <c r="B24" s="2"/>
      <c r="E24" s="2"/>
      <c r="F24" s="2"/>
      <c r="G24" s="2"/>
    </row>
    <row r="25" spans="1:9" x14ac:dyDescent="0.25">
      <c r="B25" s="2"/>
      <c r="E25" s="2"/>
      <c r="F25" s="2"/>
      <c r="G25" s="2"/>
    </row>
    <row r="26" spans="1:9" x14ac:dyDescent="0.25">
      <c r="B26" s="2"/>
      <c r="E26" s="2"/>
      <c r="F26" s="2"/>
      <c r="G26" s="2"/>
    </row>
    <row r="27" spans="1:9" x14ac:dyDescent="0.25">
      <c r="B27" s="2"/>
      <c r="E27" s="2"/>
      <c r="F27" s="2"/>
      <c r="G27" s="2"/>
    </row>
    <row r="28" spans="1:9" x14ac:dyDescent="0.25">
      <c r="B28" s="2"/>
      <c r="E28" s="2"/>
      <c r="F28" s="2"/>
      <c r="G28" s="2"/>
    </row>
    <row r="29" spans="1:9" x14ac:dyDescent="0.25">
      <c r="B29" s="5" t="s">
        <v>57</v>
      </c>
      <c r="E29" s="239" t="s">
        <v>55</v>
      </c>
      <c r="F29" s="239"/>
      <c r="G29" s="239"/>
    </row>
    <row r="30" spans="1:9" x14ac:dyDescent="0.25">
      <c r="E30" s="30"/>
      <c r="F30" s="30"/>
      <c r="G30" s="30"/>
    </row>
  </sheetData>
  <mergeCells count="15">
    <mergeCell ref="H6:H7"/>
    <mergeCell ref="G5:H5"/>
    <mergeCell ref="A1:C1"/>
    <mergeCell ref="F1:H1"/>
    <mergeCell ref="A2:C2"/>
    <mergeCell ref="F2:H3"/>
    <mergeCell ref="A4:H4"/>
    <mergeCell ref="E21:G21"/>
    <mergeCell ref="E22:G22"/>
    <mergeCell ref="E29:G29"/>
    <mergeCell ref="A6:A7"/>
    <mergeCell ref="B6:B7"/>
    <mergeCell ref="C6:C7"/>
    <mergeCell ref="D6:D7"/>
    <mergeCell ref="E6:G6"/>
  </mergeCells>
  <pageMargins left="0.28000000000000003" right="0.19685039370078741" top="0.4" bottom="0.4" header="0.31496062992125984" footer="0.31496062992125984"/>
  <pageSetup paperSize="9" scale="9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PL III-NĐ 93</vt:lpstr>
      <vt:lpstr>1.01</vt:lpstr>
      <vt:lpstr>1.02</vt:lpstr>
      <vt:lpstr>Sheet1</vt:lpstr>
      <vt:lpstr>Sheet2</vt:lpstr>
      <vt:lpstr>PLII-ND93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tuyen</dc:creator>
  <cp:lastModifiedBy>ngothikimphuong</cp:lastModifiedBy>
  <cp:lastPrinted>2024-06-25T08:34:52Z</cp:lastPrinted>
  <dcterms:created xsi:type="dcterms:W3CDTF">2019-07-09T03:53:03Z</dcterms:created>
  <dcterms:modified xsi:type="dcterms:W3CDTF">2024-09-24T09:01:27Z</dcterms:modified>
</cp:coreProperties>
</file>