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go Thi Kim Phuong\PHƯƠNG 2023\DỰ ÁN ODA\BÁO CÁO NỢ CHÍNH QUYỀN ĐỊA PHƯƠNG NĂM 2023\"/>
    </mc:Choice>
  </mc:AlternateContent>
  <bookViews>
    <workbookView xWindow="240" yWindow="60" windowWidth="19320" windowHeight="7935"/>
  </bookViews>
  <sheets>
    <sheet name="1.01" sheetId="1" r:id="rId1"/>
    <sheet name="1.02" sheetId="2" r:id="rId2"/>
    <sheet name="PLII-ND93" sheetId="3" r:id="rId3"/>
  </sheets>
  <calcPr calcId="162913"/>
</workbook>
</file>

<file path=xl/calcChain.xml><?xml version="1.0" encoding="utf-8"?>
<calcChain xmlns="http://schemas.openxmlformats.org/spreadsheetml/2006/main">
  <c r="H18" i="3" l="1"/>
  <c r="F11" i="1"/>
  <c r="S9" i="1" l="1"/>
  <c r="S8" i="1"/>
  <c r="R12" i="1" l="1"/>
  <c r="R9" i="1"/>
  <c r="F18" i="3"/>
  <c r="F19" i="3"/>
  <c r="F16" i="3"/>
  <c r="D19" i="3"/>
  <c r="H19" i="3" s="1"/>
  <c r="E11" i="2"/>
  <c r="E9" i="2"/>
  <c r="T12" i="1"/>
  <c r="F16" i="2" s="1"/>
  <c r="Q12" i="1"/>
  <c r="Q9" i="1"/>
  <c r="Q8" i="1"/>
  <c r="E11" i="1" l="1"/>
  <c r="G17" i="1" l="1"/>
  <c r="I17" i="1"/>
  <c r="K17" i="1"/>
  <c r="M17" i="1"/>
  <c r="O16" i="1"/>
  <c r="M15" i="1"/>
  <c r="O15" i="1"/>
  <c r="E13" i="1" l="1"/>
  <c r="G12" i="1"/>
  <c r="S12" i="1" s="1"/>
  <c r="E16" i="2" s="1"/>
  <c r="P14" i="1"/>
  <c r="O14" i="1"/>
  <c r="Q14" i="1" s="1"/>
  <c r="E14" i="1"/>
  <c r="S14" i="1" s="1"/>
  <c r="N13" i="1"/>
  <c r="M13" i="1"/>
  <c r="M16" i="1" s="1"/>
  <c r="L13" i="1"/>
  <c r="F20" i="3" s="1"/>
  <c r="K13" i="1"/>
  <c r="K16" i="1" s="1"/>
  <c r="J13" i="1"/>
  <c r="R13" i="1" s="1"/>
  <c r="I13" i="1"/>
  <c r="G13" i="1"/>
  <c r="G16" i="1" s="1"/>
  <c r="J11" i="1"/>
  <c r="I11" i="1"/>
  <c r="L10" i="1"/>
  <c r="F17" i="3" s="1"/>
  <c r="K10" i="1"/>
  <c r="J10" i="1"/>
  <c r="R10" i="1" s="1"/>
  <c r="I10" i="1"/>
  <c r="Q10" i="1" s="1"/>
  <c r="F10" i="1"/>
  <c r="E10" i="1"/>
  <c r="K15" i="1"/>
  <c r="G15" i="1"/>
  <c r="L8" i="1"/>
  <c r="F15" i="3" s="1"/>
  <c r="J8" i="1"/>
  <c r="E15" i="1" l="1"/>
  <c r="S10" i="1"/>
  <c r="F21" i="3"/>
  <c r="R14" i="1"/>
  <c r="Q11" i="1"/>
  <c r="S11" i="1"/>
  <c r="T11" i="1"/>
  <c r="R11" i="1"/>
  <c r="E16" i="1"/>
  <c r="S13" i="1"/>
  <c r="I16" i="1"/>
  <c r="Q13" i="1"/>
  <c r="Q16" i="1" s="1"/>
  <c r="E17" i="1"/>
  <c r="R8" i="1"/>
  <c r="Q17" i="1"/>
  <c r="O17" i="1"/>
  <c r="I15" i="1"/>
  <c r="C21" i="3" l="1"/>
  <c r="C20" i="3"/>
  <c r="C18" i="3"/>
  <c r="C17" i="3"/>
  <c r="C16" i="3"/>
  <c r="C15" i="3"/>
  <c r="T8" i="1"/>
  <c r="T9" i="1"/>
  <c r="T10" i="1"/>
  <c r="T13" i="1"/>
  <c r="T14" i="1"/>
  <c r="S16" i="1"/>
  <c r="S17" i="1"/>
  <c r="P18" i="1"/>
  <c r="Q15" i="1"/>
  <c r="R18" i="1" l="1"/>
  <c r="T18" i="1"/>
  <c r="F18" i="2" l="1"/>
  <c r="S15" i="1"/>
  <c r="F15" i="2"/>
  <c r="F13" i="2"/>
  <c r="E21" i="3"/>
  <c r="E18" i="3"/>
  <c r="E17" i="3"/>
  <c r="E15" i="3"/>
  <c r="G15" i="3" s="1"/>
  <c r="D11" i="2"/>
  <c r="D9" i="2"/>
  <c r="C11" i="2"/>
  <c r="C9" i="2"/>
  <c r="E20" i="3"/>
  <c r="D21" i="3"/>
  <c r="D17" i="3"/>
  <c r="D16" i="3"/>
  <c r="D15" i="3"/>
  <c r="F11" i="2"/>
  <c r="E16" i="3"/>
  <c r="F9" i="2"/>
  <c r="D18" i="3"/>
  <c r="D20" i="3"/>
  <c r="H18" i="1"/>
  <c r="D15" i="2"/>
  <c r="C20" i="2"/>
  <c r="C18" i="2"/>
  <c r="L18" i="1"/>
  <c r="D18" i="2"/>
  <c r="J18" i="1"/>
  <c r="N18" i="1"/>
  <c r="E18" i="2"/>
  <c r="F18" i="1"/>
  <c r="C13" i="2"/>
  <c r="D13" i="2"/>
  <c r="E13" i="2"/>
  <c r="C15" i="2"/>
  <c r="E15" i="2"/>
  <c r="D20" i="2"/>
  <c r="F20" i="2"/>
  <c r="E20" i="2"/>
  <c r="G21" i="2"/>
  <c r="H21" i="2"/>
  <c r="H15" i="3" l="1"/>
  <c r="G20" i="3"/>
  <c r="G18" i="3"/>
  <c r="G16" i="3"/>
  <c r="H21" i="3"/>
  <c r="F21" i="2"/>
  <c r="G21" i="3"/>
  <c r="G17" i="3"/>
  <c r="H20" i="3"/>
  <c r="H16" i="3"/>
  <c r="F14" i="3"/>
  <c r="F10" i="3" s="1"/>
  <c r="D14" i="3"/>
  <c r="D10" i="3" s="1"/>
  <c r="H17" i="3"/>
  <c r="E14" i="3"/>
  <c r="E10" i="3" s="1"/>
  <c r="D21" i="2"/>
  <c r="C14" i="3"/>
  <c r="C10" i="3" s="1"/>
  <c r="G14" i="3" l="1"/>
  <c r="G10" i="3"/>
  <c r="H14" i="3"/>
  <c r="H10" i="3" s="1"/>
</calcChain>
</file>

<file path=xl/comments1.xml><?xml version="1.0" encoding="utf-8"?>
<comments xmlns="http://schemas.openxmlformats.org/spreadsheetml/2006/main">
  <authors>
    <author>ngothikimphuong</author>
    <author>ADMIN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ngothikimphuong:</t>
        </r>
        <r>
          <rPr>
            <sz val="9"/>
            <color indexed="81"/>
            <rFont val="Tahoma"/>
            <family val="2"/>
          </rPr>
          <t xml:space="preserve">
chênh lệch so với BC 6 tháng đầu năm 2022 (15.678.980,58 USD) số tiền 369.182,78 USD do phản ảnh thiếu số tiềnchuyển nguồn
</t>
        </r>
      </text>
    </comment>
    <comment ref="T11" authorId="0" shapeId="0">
      <text>
        <r>
          <rPr>
            <b/>
            <sz val="9"/>
            <color indexed="81"/>
            <rFont val="Tahoma"/>
            <charset val="1"/>
          </rPr>
          <t>ngothikimphuong:</t>
        </r>
        <r>
          <rPr>
            <sz val="9"/>
            <color indexed="81"/>
            <rFont val="Tahoma"/>
            <charset val="1"/>
          </rPr>
          <t xml:space="preserve">
điều chỉnh giảm số thu vay 117.400.070đồng do chênh lệch tỷ giá của số kéo dài năm 2021 sang 2022
</t>
        </r>
      </text>
    </comment>
    <comment ref="V11" authorId="1" shapeId="0">
      <text>
        <r>
          <rPr>
            <b/>
            <sz val="9"/>
            <color indexed="81"/>
            <rFont val="Tahoma"/>
            <family val="2"/>
          </rPr>
          <t>số vốn vay giải ngân tới thời điểm 25/6/2021</t>
        </r>
      </text>
    </comment>
  </commentList>
</comments>
</file>

<file path=xl/sharedStrings.xml><?xml version="1.0" encoding="utf-8"?>
<sst xmlns="http://schemas.openxmlformats.org/spreadsheetml/2006/main" count="133" uniqueCount="94">
  <si>
    <t>BÁO CÁO TÌNH HÌNH VAY LẠI VỐN VAY ODA, VAY ƯU ĐÃI NƯỚC NGOÀI CỦA CHÍNH PHỦ</t>
  </si>
  <si>
    <t>STT</t>
  </si>
  <si>
    <t>Nguồn vốn cho vay lại</t>
  </si>
  <si>
    <t>Nguyên tệ</t>
  </si>
  <si>
    <t>Rút vốn trong kỳ</t>
  </si>
  <si>
    <t>Gốc</t>
  </si>
  <si>
    <t>Lãi</t>
  </si>
  <si>
    <t>Phí theo HĐ vay</t>
  </si>
  <si>
    <t>Phí QLCVL</t>
  </si>
  <si>
    <t>Cộng</t>
  </si>
  <si>
    <t>Dư nợ cuối kỳ</t>
  </si>
  <si>
    <t>Nợ quá hạn</t>
  </si>
  <si>
    <t>Tên dự án/
Chương trình</t>
  </si>
  <si>
    <t>ĐTXD cầu dân sinh và quản lý tài sản đường địa phương (LRAMP)</t>
  </si>
  <si>
    <t>Mẫu biểu số: 1.01</t>
  </si>
  <si>
    <t xml:space="preserve">BÁO CÁO TÌNH HÌNH NỢ CỦA UBND TỈNH QUẢNG NAM THEO CHỦ NỢ </t>
  </si>
  <si>
    <t>TÊN CHỦ NỢ</t>
  </si>
  <si>
    <t>Dư nợ đầu kỳ</t>
  </si>
  <si>
    <t>Dư nợ quá hạn cuối kỳ quy VND</t>
  </si>
  <si>
    <t>I</t>
  </si>
  <si>
    <t>Trong đó, dư nợ quá hạn cuối kỳ</t>
  </si>
  <si>
    <t>Tổng cộng dư nợ (quy VND - triệu đồng)</t>
  </si>
  <si>
    <t>Chủ nợ: WB-Hiệp hội phát triển quốc tế (IDA)</t>
  </si>
  <si>
    <t>Dự án Phát triển môi trường, hạ tầng đô thị để ứng phó với biến đổi khí hậu Tp. Hội An, tỉnh Quảng Nam</t>
  </si>
  <si>
    <t>II</t>
  </si>
  <si>
    <t>Chủ nợ: Ngân hàng Phát triển Châu Á (ADB)</t>
  </si>
  <si>
    <t>Dự án cải thiện môi trường đô thị Chu Lai, Núi Thành</t>
  </si>
  <si>
    <t>Ngân hàng 
Tái thiết Đức</t>
  </si>
  <si>
    <t>EUR</t>
  </si>
  <si>
    <t>III</t>
  </si>
  <si>
    <t>Chủ nợ: Ngân hàng Tái thiết Đức</t>
  </si>
  <si>
    <t xml:space="preserve">Dư nợ đầu kỳ </t>
  </si>
  <si>
    <t>(Kèm theo Nghị định số 93/2018/NĐ-CP 
ngày 30/6/2018 của Chính Phủ</t>
  </si>
  <si>
    <t>TT</t>
  </si>
  <si>
    <t>Nội dung</t>
  </si>
  <si>
    <t>Dư nợ đầu kỳ 
(ngày 01 tháng 01)</t>
  </si>
  <si>
    <t>Vay trong kỳ</t>
  </si>
  <si>
    <t>Trả nợ trong năm</t>
  </si>
  <si>
    <t>Lãi/phí</t>
  </si>
  <si>
    <t>Tổng</t>
  </si>
  <si>
    <t>a</t>
  </si>
  <si>
    <t>b</t>
  </si>
  <si>
    <t>6=1+2-3</t>
  </si>
  <si>
    <t>Tổng số :</t>
  </si>
  <si>
    <t>Vay phát hành trái phiếu chính quyền địa phương</t>
  </si>
  <si>
    <t>Tạm ứng ngân quỹ nhà nước</t>
  </si>
  <si>
    <t>Vay các tổ chức tài chính, tín dụng</t>
  </si>
  <si>
    <t>IV</t>
  </si>
  <si>
    <t>Vay lại vốn vay nước ngoài</t>
  </si>
  <si>
    <t>V</t>
  </si>
  <si>
    <t>USD</t>
  </si>
  <si>
    <t>VND</t>
  </si>
  <si>
    <t>1</t>
  </si>
  <si>
    <t>2</t>
  </si>
  <si>
    <t>3</t>
  </si>
  <si>
    <t>4</t>
  </si>
  <si>
    <t>5</t>
  </si>
  <si>
    <t>6</t>
  </si>
  <si>
    <t>7</t>
  </si>
  <si>
    <t>8</t>
  </si>
  <si>
    <t>Mẫu biểu số: 1.02</t>
  </si>
  <si>
    <t>Ngân hàng phát triển Châu Á</t>
  </si>
  <si>
    <t>Dự án Liên kết vùng miền Trung tỉnh Quảng Nam</t>
  </si>
  <si>
    <t>Ngân hàng XNK Hàn Quốc</t>
  </si>
  <si>
    <t>KRW</t>
  </si>
  <si>
    <t>Chủ nợ: Ngân hàng Xuất nhập khẩu Hàn Quốc</t>
  </si>
  <si>
    <t>Dự án xây dựng cầu dân sinh và quản lý tài sản đường địa phương (LRAMP)</t>
  </si>
  <si>
    <t>Ngân hàng thế giới</t>
  </si>
  <si>
    <t>Dự án Phát triển thành phố loại 2 tại Quảng Nam, Hà Tĩnh, Đăk Lăk - Tiểu dự án Quảng Nam, phần kết dư</t>
  </si>
  <si>
    <t xml:space="preserve">Trả nợ trong kỳ </t>
  </si>
  <si>
    <t>VNĐ (đồng)</t>
  </si>
  <si>
    <t>Rút vốn trong kỳ quy VNĐ (đồng)</t>
  </si>
  <si>
    <t>Dư nợ đầu kỳ quy VNĐ (đồng)</t>
  </si>
  <si>
    <t>Phí theo 
HĐ vay (đồng)</t>
  </si>
  <si>
    <t>Phí QLCVL (đồng)</t>
  </si>
  <si>
    <t>Dư nợ cuối kỳ quy VND (đồng)</t>
  </si>
  <si>
    <t>Lãi (đồng)</t>
  </si>
  <si>
    <t>Dự án Sửa chữa nâng cao an toàn đập (WB8)</t>
  </si>
  <si>
    <t>Dự án Sửa chữa nâng cao an toàn đập</t>
  </si>
  <si>
    <t xml:space="preserve">Ngân hàng Thế giới   </t>
  </si>
  <si>
    <t>VI</t>
  </si>
  <si>
    <t>Dư nợ đầu kỳ 
quy VND (đồng)</t>
  </si>
  <si>
    <t>Dự nợ cuối kỳ quy VND (đồng)</t>
  </si>
  <si>
    <t xml:space="preserve">Dư nợ cuối kỳ
</t>
  </si>
  <si>
    <t>ĐVT: đồng</t>
  </si>
  <si>
    <t>ĐVT: USD/EUR/KRW</t>
  </si>
  <si>
    <t>Dư nợ cuối kỳ (nguyên tệ)</t>
  </si>
  <si>
    <t>Kỳ báo cáo: Năm 2022</t>
  </si>
  <si>
    <t>(Kèm theo Báo cáo số            /STC-ĐT ngày       /02/2023 của Sở Tài chính Quảng Nam)</t>
  </si>
  <si>
    <t>(Kèm theo Báo cáo số          /STC-ĐT ngày         /02/2023 của Sở Tài chính Quảng Nam)</t>
  </si>
  <si>
    <t>BÁO CÁO TÌNH HÌNH VAY VÀ TRẢ NỢ  NĂM 2022</t>
  </si>
  <si>
    <t>(Kèm theo Báo cáo số             /STC-ĐT ngày              /02/2023 của Sở Tài chính Quảng Nam)</t>
  </si>
  <si>
    <t>Xây dựng cơ sở hạ tầng thích ứng với biến đổi khí hậu cho đồng bào dân tộc thiểu số (CRIEM) - Dự án thành phần tỉnh Quảng Nam</t>
  </si>
  <si>
    <t>Phụ lục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</si>
</sst>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[$€-2]\ * #,##0.00_);_([$€-2]\ * \(#,##0.00\);_([$€-2]\ * &quot;-&quot;??_);_(@_)"/>
    <numFmt numFmtId="166" formatCode="_-[$₩-412]* #,##0.00_-;\-[$₩-412]* #,##0.00_-;_-[$₩-412]* &quot;-&quot;??_-;_-@_-"/>
    <numFmt numFmtId="167" formatCode="&quot;$&quot;#,##0.00"/>
    <numFmt numFmtId="168" formatCode="[$€-2]\ #,##0.00"/>
    <numFmt numFmtId="169" formatCode="[$₩-412]#,##0.00;\-[$₩-412]#,##0.00"/>
    <numFmt numFmtId="170" formatCode="[$₩-412]#,##0.00"/>
    <numFmt numFmtId="171" formatCode="[$₩-412]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9"/>
      <color indexed="81"/>
      <name val="Tahoma"/>
      <family val="2"/>
    </font>
    <font>
      <u/>
      <sz val="10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8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64" fontId="1" fillId="0" borderId="0" xfId="1" applyNumberFormat="1" applyFont="1" applyAlignment="1"/>
    <xf numFmtId="0" fontId="1" fillId="0" borderId="0" xfId="0" applyFont="1" applyAlignment="1"/>
    <xf numFmtId="164" fontId="2" fillId="0" borderId="0" xfId="1" applyNumberFormat="1" applyFont="1" applyAlignment="1"/>
    <xf numFmtId="0" fontId="1" fillId="0" borderId="1" xfId="0" applyFont="1" applyBorder="1" applyAlignment="1"/>
    <xf numFmtId="164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Fill="1"/>
    <xf numFmtId="0" fontId="9" fillId="0" borderId="0" xfId="0" applyFont="1" applyFill="1"/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64" fontId="10" fillId="2" borderId="2" xfId="1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37" fontId="10" fillId="2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Fill="1" applyAlignment="1"/>
    <xf numFmtId="0" fontId="10" fillId="0" borderId="0" xfId="0" applyFont="1" applyFill="1" applyAlignment="1"/>
    <xf numFmtId="0" fontId="10" fillId="0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 wrapText="1"/>
    </xf>
    <xf numFmtId="164" fontId="1" fillId="0" borderId="0" xfId="1" applyNumberFormat="1" applyFont="1"/>
    <xf numFmtId="0" fontId="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9" fillId="0" borderId="2" xfId="0" applyNumberFormat="1" applyFont="1" applyFill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quotePrefix="1" applyFont="1" applyFill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164" fontId="12" fillId="2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12" fillId="2" borderId="0" xfId="1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" fontId="1" fillId="0" borderId="2" xfId="1" applyNumberFormat="1" applyFont="1" applyFill="1" applyBorder="1" applyAlignment="1">
      <alignment horizontal="right" vertical="center" wrapText="1"/>
    </xf>
    <xf numFmtId="3" fontId="1" fillId="3" borderId="2" xfId="1" applyNumberFormat="1" applyFont="1" applyFill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2" borderId="2" xfId="1" quotePrefix="1" applyNumberFormat="1" applyFont="1" applyFill="1" applyBorder="1" applyAlignment="1">
      <alignment horizontal="right" vertical="center" wrapText="1"/>
    </xf>
    <xf numFmtId="3" fontId="10" fillId="2" borderId="2" xfId="1" applyNumberFormat="1" applyFont="1" applyFill="1" applyBorder="1" applyAlignment="1">
      <alignment horizontal="right" vertical="center" wrapText="1"/>
    </xf>
    <xf numFmtId="3" fontId="10" fillId="0" borderId="2" xfId="4" applyNumberFormat="1" applyFont="1" applyFill="1" applyBorder="1" applyAlignment="1">
      <alignment horizontal="right" vertical="center" wrapText="1"/>
    </xf>
    <xf numFmtId="3" fontId="12" fillId="2" borderId="2" xfId="1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2" fillId="0" borderId="2" xfId="1" applyNumberFormat="1" applyFont="1" applyBorder="1" applyAlignment="1">
      <alignment horizontal="right" vertical="center" wrapText="1"/>
    </xf>
    <xf numFmtId="3" fontId="9" fillId="0" borderId="2" xfId="1" applyNumberFormat="1" applyFont="1" applyFill="1" applyBorder="1" applyAlignment="1">
      <alignment vertical="center"/>
    </xf>
    <xf numFmtId="3" fontId="9" fillId="0" borderId="2" xfId="1" applyNumberFormat="1" applyFont="1" applyBorder="1" applyAlignment="1">
      <alignment vertical="center"/>
    </xf>
    <xf numFmtId="3" fontId="9" fillId="0" borderId="2" xfId="2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center"/>
    </xf>
    <xf numFmtId="3" fontId="9" fillId="0" borderId="2" xfId="1" applyNumberFormat="1" applyFont="1" applyFill="1" applyBorder="1" applyAlignment="1">
      <alignment horizontal="right" vertical="center"/>
    </xf>
    <xf numFmtId="3" fontId="1" fillId="0" borderId="2" xfId="1" applyNumberFormat="1" applyFont="1" applyBorder="1" applyAlignment="1">
      <alignment horizontal="right" vertical="center" wrapText="1"/>
    </xf>
    <xf numFmtId="3" fontId="10" fillId="0" borderId="2" xfId="1" applyNumberFormat="1" applyFont="1" applyBorder="1" applyAlignment="1">
      <alignment horizontal="right" vertical="center"/>
    </xf>
    <xf numFmtId="3" fontId="10" fillId="0" borderId="2" xfId="1" applyNumberFormat="1" applyFont="1" applyFill="1" applyBorder="1" applyAlignment="1">
      <alignment horizontal="right" vertical="center"/>
    </xf>
    <xf numFmtId="3" fontId="10" fillId="0" borderId="2" xfId="1" applyNumberFormat="1" applyFont="1" applyFill="1" applyBorder="1" applyAlignment="1">
      <alignment horizontal="right" vertical="center" wrapText="1"/>
    </xf>
    <xf numFmtId="3" fontId="1" fillId="0" borderId="2" xfId="1" applyNumberFormat="1" applyFont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>
      <alignment horizontal="right" vertical="center" wrapText="1"/>
    </xf>
    <xf numFmtId="3" fontId="10" fillId="3" borderId="2" xfId="1" applyNumberFormat="1" applyFont="1" applyFill="1" applyBorder="1" applyAlignment="1">
      <alignment horizontal="right" vertical="center" wrapText="1"/>
    </xf>
    <xf numFmtId="3" fontId="9" fillId="3" borderId="2" xfId="1" applyNumberFormat="1" applyFont="1" applyFill="1" applyBorder="1" applyAlignment="1">
      <alignment horizontal="right" vertical="center" wrapText="1"/>
    </xf>
    <xf numFmtId="3" fontId="1" fillId="2" borderId="2" xfId="1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0" xfId="0" applyFont="1" applyFill="1"/>
    <xf numFmtId="4" fontId="7" fillId="0" borderId="0" xfId="0" applyNumberFormat="1" applyFont="1" applyFill="1" applyAlignment="1">
      <alignment horizontal="right"/>
    </xf>
    <xf numFmtId="0" fontId="12" fillId="0" borderId="0" xfId="0" applyFont="1" applyFill="1" applyAlignment="1"/>
    <xf numFmtId="0" fontId="12" fillId="0" borderId="0" xfId="0" applyFont="1" applyFill="1"/>
    <xf numFmtId="4" fontId="12" fillId="0" borderId="0" xfId="0" applyNumberFormat="1" applyFont="1" applyFill="1" applyAlignment="1">
      <alignment horizontal="right"/>
    </xf>
    <xf numFmtId="0" fontId="12" fillId="2" borderId="4" xfId="0" applyFont="1" applyFill="1" applyBorder="1" applyAlignment="1">
      <alignment vertical="center" wrapText="1"/>
    </xf>
    <xf numFmtId="164" fontId="12" fillId="2" borderId="3" xfId="1" applyNumberFormat="1" applyFont="1" applyFill="1" applyBorder="1" applyAlignment="1">
      <alignment horizontal="center" vertical="center" wrapText="1"/>
    </xf>
    <xf numFmtId="164" fontId="12" fillId="2" borderId="3" xfId="1" applyNumberFormat="1" applyFont="1" applyFill="1" applyBorder="1" applyAlignment="1">
      <alignment horizontal="right" vertical="center" wrapText="1"/>
    </xf>
    <xf numFmtId="164" fontId="12" fillId="0" borderId="3" xfId="1" applyNumberFormat="1" applyFont="1" applyFill="1" applyBorder="1" applyAlignment="1">
      <alignment horizontal="right" vertical="center" wrapText="1"/>
    </xf>
    <xf numFmtId="164" fontId="12" fillId="2" borderId="0" xfId="1" applyNumberFormat="1" applyFont="1" applyFill="1" applyAlignment="1">
      <alignment vertical="center" wrapText="1"/>
    </xf>
    <xf numFmtId="164" fontId="12" fillId="0" borderId="3" xfId="1" applyNumberFormat="1" applyFont="1" applyFill="1" applyBorder="1" applyAlignment="1">
      <alignment horizontal="center" vertical="center" wrapText="1"/>
    </xf>
    <xf numFmtId="167" fontId="12" fillId="0" borderId="2" xfId="0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right" vertical="center"/>
    </xf>
    <xf numFmtId="4" fontId="12" fillId="0" borderId="2" xfId="0" applyNumberFormat="1" applyFont="1" applyFill="1" applyBorder="1" applyAlignment="1">
      <alignment horizontal="right" vertical="center"/>
    </xf>
    <xf numFmtId="164" fontId="12" fillId="0" borderId="2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vertical="center" wrapText="1"/>
    </xf>
    <xf numFmtId="164" fontId="12" fillId="0" borderId="2" xfId="1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168" fontId="12" fillId="0" borderId="2" xfId="0" applyNumberFormat="1" applyFont="1" applyFill="1" applyBorder="1" applyAlignment="1">
      <alignment horizontal="right" vertical="center"/>
    </xf>
    <xf numFmtId="164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" fontId="12" fillId="0" borderId="2" xfId="4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 wrapText="1"/>
    </xf>
    <xf numFmtId="4" fontId="12" fillId="0" borderId="0" xfId="0" applyNumberFormat="1" applyFont="1" applyFill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8" fontId="7" fillId="0" borderId="2" xfId="0" applyNumberFormat="1" applyFont="1" applyFill="1" applyBorder="1" applyAlignment="1">
      <alignment horizontal="right" vertical="center" wrapText="1"/>
    </xf>
    <xf numFmtId="167" fontId="7" fillId="0" borderId="2" xfId="0" applyNumberFormat="1" applyFont="1" applyFill="1" applyBorder="1" applyAlignment="1">
      <alignment vertical="center" wrapText="1"/>
    </xf>
    <xf numFmtId="168" fontId="7" fillId="0" borderId="2" xfId="0" applyNumberFormat="1" applyFont="1" applyFill="1" applyBorder="1" applyAlignment="1">
      <alignment vertical="center" wrapText="1"/>
    </xf>
    <xf numFmtId="171" fontId="7" fillId="0" borderId="2" xfId="1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10" fillId="0" borderId="2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44" fontId="9" fillId="0" borderId="2" xfId="3" applyFont="1" applyFill="1" applyBorder="1" applyAlignment="1">
      <alignment horizontal="right" vertical="center" wrapText="1"/>
    </xf>
    <xf numFmtId="44" fontId="10" fillId="0" borderId="2" xfId="3" applyFont="1" applyFill="1" applyBorder="1" applyAlignment="1">
      <alignment horizontal="right" vertical="center" wrapText="1"/>
    </xf>
    <xf numFmtId="3" fontId="8" fillId="3" borderId="2" xfId="1" applyNumberFormat="1" applyFont="1" applyFill="1" applyBorder="1" applyAlignment="1">
      <alignment horizontal="right" vertical="center" wrapText="1"/>
    </xf>
    <xf numFmtId="164" fontId="8" fillId="3" borderId="2" xfId="1" applyNumberFormat="1" applyFont="1" applyFill="1" applyBorder="1" applyAlignment="1">
      <alignment horizontal="right" vertical="center" wrapText="1"/>
    </xf>
    <xf numFmtId="44" fontId="1" fillId="0" borderId="2" xfId="3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65" fontId="10" fillId="0" borderId="2" xfId="0" applyNumberFormat="1" applyFont="1" applyFill="1" applyBorder="1" applyAlignment="1">
      <alignment horizontal="right" vertical="center" wrapText="1"/>
    </xf>
    <xf numFmtId="166" fontId="9" fillId="0" borderId="2" xfId="0" applyNumberFormat="1" applyFont="1" applyFill="1" applyBorder="1" applyAlignment="1">
      <alignment horizontal="right" vertical="center" wrapText="1"/>
    </xf>
    <xf numFmtId="166" fontId="10" fillId="0" borderId="2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Fill="1" applyAlignment="1">
      <alignment vertical="center" wrapText="1"/>
    </xf>
    <xf numFmtId="44" fontId="9" fillId="0" borderId="2" xfId="3" applyFont="1" applyFill="1" applyBorder="1" applyAlignment="1">
      <alignment horizontal="center" vertical="center" wrapText="1"/>
    </xf>
    <xf numFmtId="0" fontId="17" fillId="0" borderId="0" xfId="0" applyFont="1" applyFill="1" applyAlignment="1"/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19" fillId="0" borderId="2" xfId="1" applyNumberFormat="1" applyFont="1" applyFill="1" applyBorder="1" applyAlignment="1">
      <alignment horizontal="right" vertical="center" wrapText="1"/>
    </xf>
    <xf numFmtId="3" fontId="19" fillId="0" borderId="2" xfId="1" applyNumberFormat="1" applyFont="1" applyFill="1" applyBorder="1" applyAlignment="1">
      <alignment horizontal="right" vertical="center" wrapText="1"/>
    </xf>
    <xf numFmtId="167" fontId="12" fillId="2" borderId="3" xfId="1" applyNumberFormat="1" applyFont="1" applyFill="1" applyBorder="1" applyAlignment="1">
      <alignment horizontal="right" vertical="center" wrapText="1"/>
    </xf>
    <xf numFmtId="167" fontId="4" fillId="0" borderId="5" xfId="0" applyNumberFormat="1" applyFont="1" applyBorder="1" applyAlignment="1">
      <alignment horizontal="right" vertical="center" wrapText="1"/>
    </xf>
    <xf numFmtId="164" fontId="12" fillId="2" borderId="8" xfId="1" applyNumberFormat="1" applyFont="1" applyFill="1" applyBorder="1" applyAlignment="1">
      <alignment horizontal="right" vertical="center" wrapText="1"/>
    </xf>
    <xf numFmtId="164" fontId="12" fillId="0" borderId="8" xfId="1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vertical="center" wrapText="1"/>
    </xf>
    <xf numFmtId="164" fontId="12" fillId="0" borderId="2" xfId="1" quotePrefix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168" fontId="4" fillId="0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3" fontId="4" fillId="0" borderId="2" xfId="1" applyNumberFormat="1" applyFont="1" applyFill="1" applyBorder="1" applyAlignment="1">
      <alignment horizontal="right" vertical="center"/>
    </xf>
    <xf numFmtId="3" fontId="4" fillId="0" borderId="2" xfId="4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/>
    </xf>
    <xf numFmtId="3" fontId="12" fillId="0" borderId="2" xfId="1" applyNumberFormat="1" applyFont="1" applyFill="1" applyBorder="1" applyAlignment="1">
      <alignment horizontal="right" vertical="center"/>
    </xf>
    <xf numFmtId="164" fontId="12" fillId="0" borderId="2" xfId="1" applyNumberFormat="1" applyFont="1" applyFill="1" applyBorder="1" applyAlignment="1">
      <alignment horizontal="right" vertical="center"/>
    </xf>
    <xf numFmtId="169" fontId="12" fillId="0" borderId="2" xfId="1" applyNumberFormat="1" applyFont="1" applyFill="1" applyBorder="1" applyAlignment="1">
      <alignment horizontal="right" vertical="center" wrapText="1"/>
    </xf>
    <xf numFmtId="171" fontId="7" fillId="0" borderId="2" xfId="1" applyNumberFormat="1" applyFont="1" applyFill="1" applyBorder="1" applyAlignment="1">
      <alignment horizontal="right" vertical="center" wrapText="1"/>
    </xf>
    <xf numFmtId="164" fontId="12" fillId="0" borderId="3" xfId="1" quotePrefix="1" applyNumberFormat="1" applyFont="1" applyFill="1" applyBorder="1" applyAlignment="1">
      <alignment horizontal="right" vertical="center"/>
    </xf>
    <xf numFmtId="164" fontId="12" fillId="0" borderId="2" xfId="1" quotePrefix="1" applyNumberFormat="1" applyFont="1" applyFill="1" applyBorder="1" applyAlignment="1">
      <alignment horizontal="right" vertical="center" wrapText="1"/>
    </xf>
    <xf numFmtId="43" fontId="12" fillId="0" borderId="2" xfId="1" applyNumberFormat="1" applyFont="1" applyFill="1" applyBorder="1" applyAlignment="1">
      <alignment horizontal="right" vertical="center" wrapText="1"/>
    </xf>
    <xf numFmtId="170" fontId="4" fillId="0" borderId="2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/>
    </xf>
    <xf numFmtId="164" fontId="2" fillId="0" borderId="2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8" fillId="0" borderId="0" xfId="0" applyFont="1" applyFill="1" applyAlignment="1"/>
  </cellXfs>
  <cellStyles count="5">
    <cellStyle name="Comma" xfId="1" builtinId="3"/>
    <cellStyle name="Currency" xfId="3" builtinId="4"/>
    <cellStyle name="Dấu phẩy 2" xf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9"/>
  <sheetViews>
    <sheetView tabSelected="1" topLeftCell="C10" workbookViewId="0">
      <selection activeCell="C5" sqref="C5:C7"/>
    </sheetView>
  </sheetViews>
  <sheetFormatPr defaultRowHeight="12.75" x14ac:dyDescent="0.2"/>
  <cols>
    <col min="1" max="1" width="2.85546875" style="85" customWidth="1"/>
    <col min="2" max="2" width="21.7109375" style="88" customWidth="1"/>
    <col min="3" max="3" width="11.140625" style="89" customWidth="1"/>
    <col min="4" max="4" width="4.5703125" style="85" customWidth="1"/>
    <col min="5" max="5" width="13.5703125" style="90" customWidth="1"/>
    <col min="6" max="6" width="14.42578125" style="77" customWidth="1"/>
    <col min="7" max="7" width="12.140625" style="90" customWidth="1"/>
    <col min="8" max="8" width="14.7109375" style="77" customWidth="1"/>
    <col min="9" max="9" width="11" style="90" customWidth="1"/>
    <col min="10" max="10" width="14.5703125" style="77" customWidth="1"/>
    <col min="11" max="11" width="9.85546875" style="77" hidden="1" customWidth="1"/>
    <col min="12" max="12" width="12.28515625" style="77" hidden="1" customWidth="1"/>
    <col min="13" max="13" width="9.5703125" style="77" hidden="1" customWidth="1"/>
    <col min="14" max="14" width="11.140625" style="77" hidden="1" customWidth="1"/>
    <col min="15" max="15" width="10.140625" style="77" hidden="1" customWidth="1"/>
    <col min="16" max="16" width="10.7109375" style="77" hidden="1" customWidth="1"/>
    <col min="17" max="17" width="11.28515625" style="77" hidden="1" customWidth="1"/>
    <col min="18" max="18" width="14.28515625" style="77" hidden="1" customWidth="1"/>
    <col min="19" max="19" width="14" style="90" customWidth="1"/>
    <col min="20" max="20" width="14" style="77" customWidth="1"/>
    <col min="21" max="21" width="3.7109375" style="89" customWidth="1"/>
    <col min="22" max="22" width="3.42578125" style="89" customWidth="1"/>
    <col min="23" max="24" width="4.28515625" style="89" customWidth="1"/>
    <col min="25" max="25" width="3.5703125" style="89" customWidth="1"/>
    <col min="26" max="16384" width="9.140625" style="89"/>
  </cols>
  <sheetData>
    <row r="1" spans="1:25" s="86" customFormat="1" x14ac:dyDescent="0.2">
      <c r="A1" s="144"/>
      <c r="B1" s="85"/>
      <c r="D1" s="144"/>
      <c r="E1" s="87"/>
      <c r="F1" s="76"/>
      <c r="G1" s="87"/>
      <c r="H1" s="76"/>
      <c r="I1" s="87"/>
      <c r="J1" s="76"/>
      <c r="K1" s="76"/>
      <c r="L1" s="76"/>
      <c r="M1" s="76"/>
      <c r="N1" s="76"/>
      <c r="O1" s="76"/>
      <c r="P1" s="76"/>
      <c r="Q1" s="76"/>
      <c r="R1" s="76"/>
      <c r="S1" s="87"/>
      <c r="T1" s="76"/>
      <c r="V1" s="86" t="s">
        <v>14</v>
      </c>
    </row>
    <row r="2" spans="1:25" ht="17.25" customHeight="1" x14ac:dyDescent="0.2">
      <c r="A2" s="172" t="s">
        <v>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</row>
    <row r="3" spans="1:25" x14ac:dyDescent="0.2">
      <c r="A3" s="173" t="s">
        <v>87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</row>
    <row r="4" spans="1:25" x14ac:dyDescent="0.2">
      <c r="A4" s="171"/>
      <c r="B4" s="171"/>
      <c r="C4" s="171"/>
      <c r="D4" s="188" t="s">
        <v>88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</row>
    <row r="5" spans="1:25" s="51" customFormat="1" ht="31.5" customHeight="1" x14ac:dyDescent="0.25">
      <c r="A5" s="174" t="s">
        <v>1</v>
      </c>
      <c r="B5" s="174" t="s">
        <v>12</v>
      </c>
      <c r="C5" s="174" t="s">
        <v>2</v>
      </c>
      <c r="D5" s="174" t="s">
        <v>3</v>
      </c>
      <c r="E5" s="176" t="s">
        <v>31</v>
      </c>
      <c r="F5" s="175" t="s">
        <v>72</v>
      </c>
      <c r="G5" s="176" t="s">
        <v>4</v>
      </c>
      <c r="H5" s="175" t="s">
        <v>71</v>
      </c>
      <c r="I5" s="174" t="s">
        <v>69</v>
      </c>
      <c r="J5" s="174"/>
      <c r="K5" s="174"/>
      <c r="L5" s="174"/>
      <c r="M5" s="174"/>
      <c r="N5" s="174"/>
      <c r="O5" s="174"/>
      <c r="P5" s="174"/>
      <c r="Q5" s="174"/>
      <c r="R5" s="174"/>
      <c r="S5" s="176" t="s">
        <v>86</v>
      </c>
      <c r="T5" s="175" t="s">
        <v>75</v>
      </c>
      <c r="U5" s="174" t="s">
        <v>11</v>
      </c>
      <c r="V5" s="174"/>
      <c r="W5" s="174"/>
      <c r="X5" s="174"/>
      <c r="Y5" s="174"/>
    </row>
    <row r="6" spans="1:25" s="51" customFormat="1" ht="31.5" customHeight="1" x14ac:dyDescent="0.25">
      <c r="A6" s="174"/>
      <c r="B6" s="174"/>
      <c r="C6" s="174"/>
      <c r="D6" s="174"/>
      <c r="E6" s="176"/>
      <c r="F6" s="175"/>
      <c r="G6" s="176"/>
      <c r="H6" s="175"/>
      <c r="I6" s="174" t="s">
        <v>5</v>
      </c>
      <c r="J6" s="174"/>
      <c r="K6" s="175" t="s">
        <v>76</v>
      </c>
      <c r="L6" s="175"/>
      <c r="M6" s="175" t="s">
        <v>73</v>
      </c>
      <c r="N6" s="175"/>
      <c r="O6" s="177" t="s">
        <v>74</v>
      </c>
      <c r="P6" s="178"/>
      <c r="Q6" s="177" t="s">
        <v>9</v>
      </c>
      <c r="R6" s="178"/>
      <c r="S6" s="176"/>
      <c r="T6" s="175"/>
      <c r="U6" s="174" t="s">
        <v>5</v>
      </c>
      <c r="V6" s="174" t="s">
        <v>6</v>
      </c>
      <c r="W6" s="174" t="s">
        <v>7</v>
      </c>
      <c r="X6" s="174" t="s">
        <v>8</v>
      </c>
      <c r="Y6" s="174" t="s">
        <v>9</v>
      </c>
    </row>
    <row r="7" spans="1:25" s="51" customFormat="1" ht="31.5" customHeight="1" x14ac:dyDescent="0.25">
      <c r="A7" s="174"/>
      <c r="B7" s="174"/>
      <c r="C7" s="174"/>
      <c r="D7" s="174"/>
      <c r="E7" s="176"/>
      <c r="F7" s="175"/>
      <c r="G7" s="176"/>
      <c r="H7" s="175"/>
      <c r="I7" s="147" t="s">
        <v>3</v>
      </c>
      <c r="J7" s="146" t="s">
        <v>70</v>
      </c>
      <c r="K7" s="147" t="s">
        <v>3</v>
      </c>
      <c r="L7" s="146" t="s">
        <v>70</v>
      </c>
      <c r="M7" s="147" t="s">
        <v>3</v>
      </c>
      <c r="N7" s="146" t="s">
        <v>70</v>
      </c>
      <c r="O7" s="147" t="s">
        <v>3</v>
      </c>
      <c r="P7" s="146" t="s">
        <v>70</v>
      </c>
      <c r="Q7" s="147" t="s">
        <v>3</v>
      </c>
      <c r="R7" s="146" t="s">
        <v>70</v>
      </c>
      <c r="S7" s="176"/>
      <c r="T7" s="175"/>
      <c r="U7" s="174"/>
      <c r="V7" s="174"/>
      <c r="W7" s="174"/>
      <c r="X7" s="174"/>
      <c r="Y7" s="174"/>
    </row>
    <row r="8" spans="1:25" s="49" customFormat="1" ht="53.25" customHeight="1" x14ac:dyDescent="0.25">
      <c r="A8" s="45">
        <v>1</v>
      </c>
      <c r="B8" s="46" t="s">
        <v>68</v>
      </c>
      <c r="C8" s="47" t="s">
        <v>61</v>
      </c>
      <c r="D8" s="47" t="s">
        <v>50</v>
      </c>
      <c r="E8" s="97">
        <v>3700140</v>
      </c>
      <c r="F8" s="60">
        <v>86024025000</v>
      </c>
      <c r="G8" s="169">
        <v>0</v>
      </c>
      <c r="H8" s="169">
        <v>0</v>
      </c>
      <c r="I8" s="151">
        <v>740028</v>
      </c>
      <c r="J8" s="149">
        <f>17800000000+112000000</f>
        <v>17912000000</v>
      </c>
      <c r="K8" s="151">
        <v>184371.82</v>
      </c>
      <c r="L8" s="149">
        <f>4462000000</f>
        <v>4462000000</v>
      </c>
      <c r="M8" s="148"/>
      <c r="N8" s="149"/>
      <c r="O8" s="148">
        <v>23046.48</v>
      </c>
      <c r="P8" s="149">
        <v>557730000</v>
      </c>
      <c r="Q8" s="151">
        <f>I8+K8+O8</f>
        <v>947446.3</v>
      </c>
      <c r="R8" s="149">
        <f>J8+L8+P8</f>
        <v>22931730000</v>
      </c>
      <c r="S8" s="97">
        <f>E8+G8-I8</f>
        <v>2960112</v>
      </c>
      <c r="T8" s="63">
        <f>F8+H8-J8</f>
        <v>68112025000</v>
      </c>
      <c r="U8" s="48"/>
      <c r="V8" s="48"/>
      <c r="W8" s="48"/>
      <c r="X8" s="48"/>
      <c r="Y8" s="48"/>
    </row>
    <row r="9" spans="1:25" s="95" customFormat="1" ht="30.75" customHeight="1" x14ac:dyDescent="0.25">
      <c r="A9" s="45">
        <v>2</v>
      </c>
      <c r="B9" s="91" t="s">
        <v>77</v>
      </c>
      <c r="C9" s="47" t="s">
        <v>67</v>
      </c>
      <c r="D9" s="47" t="s">
        <v>50</v>
      </c>
      <c r="E9" s="97">
        <v>1429863.67</v>
      </c>
      <c r="F9" s="93">
        <v>32821013250</v>
      </c>
      <c r="G9" s="150">
        <v>548422.89999999991</v>
      </c>
      <c r="H9" s="93">
        <v>12788231750</v>
      </c>
      <c r="I9" s="151">
        <v>208230</v>
      </c>
      <c r="J9" s="152">
        <v>4895520000</v>
      </c>
      <c r="K9" s="151">
        <v>31465.5</v>
      </c>
      <c r="L9" s="153">
        <v>740258000</v>
      </c>
      <c r="M9" s="94"/>
      <c r="N9" s="94"/>
      <c r="O9" s="94"/>
      <c r="P9" s="94"/>
      <c r="Q9" s="151">
        <f t="shared" ref="Q9:Q14" si="0">I9+K9+O9</f>
        <v>239695.5</v>
      </c>
      <c r="R9" s="149">
        <f t="shared" ref="R9:R14" si="1">J9+L9+P9</f>
        <v>5635778000</v>
      </c>
      <c r="S9" s="97">
        <f t="shared" ref="S9:S14" si="2">E9+G9-I9</f>
        <v>1770056.5699999998</v>
      </c>
      <c r="T9" s="63">
        <f t="shared" ref="T9:T14" si="3">F9+H9-J9</f>
        <v>40713725000</v>
      </c>
      <c r="U9" s="92"/>
      <c r="V9" s="92"/>
      <c r="W9" s="92"/>
      <c r="X9" s="92"/>
      <c r="Y9" s="92"/>
    </row>
    <row r="10" spans="1:25" s="50" customFormat="1" ht="52.5" customHeight="1" x14ac:dyDescent="0.25">
      <c r="A10" s="45">
        <v>3</v>
      </c>
      <c r="B10" s="154" t="s">
        <v>66</v>
      </c>
      <c r="C10" s="96" t="s">
        <v>67</v>
      </c>
      <c r="D10" s="96" t="s">
        <v>50</v>
      </c>
      <c r="E10" s="97">
        <f>549900+1180845.26*0.3+2624959.41129939*0.3+367168.43*0.3+1729627.39867481*0.3+151339.6716*0.3+2408155971/22820-90090</f>
        <v>2381520.3587027593</v>
      </c>
      <c r="F10" s="98">
        <f>(12366.675+26348.572521+2553.84+40200*0.3+3502*0.3)*1000000+500+2408155971-2060974000</f>
        <v>54726869991.999992</v>
      </c>
      <c r="G10" s="169">
        <v>0</v>
      </c>
      <c r="H10" s="169">
        <v>0</v>
      </c>
      <c r="I10" s="151">
        <f>90090+90090</f>
        <v>180180</v>
      </c>
      <c r="J10" s="98">
        <f>2070300000+2155000000+3600000</f>
        <v>4228900000</v>
      </c>
      <c r="K10" s="151">
        <f>24597.57+22053.02</f>
        <v>46650.59</v>
      </c>
      <c r="L10" s="98">
        <f>565300000+528400000</f>
        <v>1093700000</v>
      </c>
      <c r="M10" s="98"/>
      <c r="N10" s="99"/>
      <c r="O10" s="99"/>
      <c r="P10" s="99"/>
      <c r="Q10" s="151">
        <f t="shared" si="0"/>
        <v>226830.59</v>
      </c>
      <c r="R10" s="149">
        <f t="shared" si="1"/>
        <v>5322600000</v>
      </c>
      <c r="S10" s="97">
        <f t="shared" si="2"/>
        <v>2201340.3587027593</v>
      </c>
      <c r="T10" s="63">
        <f t="shared" si="3"/>
        <v>50497969991.999992</v>
      </c>
      <c r="U10" s="99"/>
      <c r="V10" s="98"/>
      <c r="W10" s="100"/>
      <c r="X10" s="100"/>
      <c r="Y10" s="101"/>
    </row>
    <row r="11" spans="1:25" s="50" customFormat="1" ht="68.25" customHeight="1" x14ac:dyDescent="0.25">
      <c r="A11" s="45">
        <v>4</v>
      </c>
      <c r="B11" s="101" t="s">
        <v>23</v>
      </c>
      <c r="C11" s="100" t="s">
        <v>61</v>
      </c>
      <c r="D11" s="100" t="s">
        <v>50</v>
      </c>
      <c r="E11" s="97">
        <f>171949.3+146818.2+4200000+1600000+1600000+874381.99+377121.77+341276.82+982825.96+577210.07+1576579.25+3600000</f>
        <v>16048163.359999999</v>
      </c>
      <c r="F11" s="155">
        <f>60400365430+76551580348+220609358062+8531075680</f>
        <v>366092379520</v>
      </c>
      <c r="G11" s="97">
        <v>18813283.34</v>
      </c>
      <c r="H11" s="167">
        <v>437687211984</v>
      </c>
      <c r="I11" s="97">
        <f>1794872.1*2</f>
        <v>3589744.2</v>
      </c>
      <c r="J11" s="168">
        <f>41462000000+44654625000</f>
        <v>86116625000</v>
      </c>
      <c r="K11" s="155"/>
      <c r="L11" s="102">
        <v>0</v>
      </c>
      <c r="M11" s="155"/>
      <c r="N11" s="102">
        <v>0</v>
      </c>
      <c r="O11" s="155"/>
      <c r="P11" s="102">
        <v>0</v>
      </c>
      <c r="Q11" s="151">
        <f t="shared" si="0"/>
        <v>3589744.2</v>
      </c>
      <c r="R11" s="149">
        <f t="shared" si="1"/>
        <v>86116625000</v>
      </c>
      <c r="S11" s="97">
        <f t="shared" si="2"/>
        <v>31271702.500000004</v>
      </c>
      <c r="T11" s="63">
        <f>F11+H11-J11-117400070</f>
        <v>717545566434</v>
      </c>
      <c r="U11" s="99"/>
      <c r="V11" s="101"/>
      <c r="W11" s="101"/>
      <c r="X11" s="101"/>
      <c r="Y11" s="101"/>
    </row>
    <row r="12" spans="1:25" s="52" customFormat="1" ht="76.5" customHeight="1" x14ac:dyDescent="0.25">
      <c r="A12" s="108">
        <v>5</v>
      </c>
      <c r="B12" s="103" t="s">
        <v>92</v>
      </c>
      <c r="C12" s="145"/>
      <c r="D12" s="145"/>
      <c r="E12" s="169">
        <v>0</v>
      </c>
      <c r="F12" s="107">
        <v>0</v>
      </c>
      <c r="G12" s="97">
        <f>788660.64*0.7</f>
        <v>552062.44799999997</v>
      </c>
      <c r="H12" s="107">
        <v>12976316500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48">
        <f>I12+K12+O12</f>
        <v>0</v>
      </c>
      <c r="R12" s="149">
        <f>J12+L12+P12</f>
        <v>0</v>
      </c>
      <c r="S12" s="97">
        <f t="shared" si="2"/>
        <v>552062.44799999997</v>
      </c>
      <c r="T12" s="63">
        <f>F12+H12-J12</f>
        <v>12976316500</v>
      </c>
      <c r="U12" s="146"/>
      <c r="V12" s="146"/>
      <c r="W12" s="146"/>
      <c r="X12" s="146"/>
      <c r="Y12" s="146"/>
    </row>
    <row r="13" spans="1:25" s="83" customFormat="1" ht="35.25" customHeight="1" x14ac:dyDescent="0.25">
      <c r="A13" s="45">
        <v>6</v>
      </c>
      <c r="B13" s="156" t="s">
        <v>26</v>
      </c>
      <c r="C13" s="104" t="s">
        <v>27</v>
      </c>
      <c r="D13" s="105" t="s">
        <v>28</v>
      </c>
      <c r="E13" s="157">
        <f>152246.87+740246.69-(101463.44+65927.6)-(12505.54+5539.47)-617.29</f>
        <v>706440.21999999986</v>
      </c>
      <c r="F13" s="158">
        <v>18032163078</v>
      </c>
      <c r="G13" s="157">
        <f>5338956.8*0.1</f>
        <v>533895.68000000005</v>
      </c>
      <c r="H13" s="159">
        <v>12956151576</v>
      </c>
      <c r="I13" s="157">
        <f>131600+131600</f>
        <v>263200</v>
      </c>
      <c r="J13" s="160">
        <f>3306000000+3401214000</f>
        <v>6707214000</v>
      </c>
      <c r="K13" s="157">
        <f>7162.44+7720.1</f>
        <v>14882.54</v>
      </c>
      <c r="L13" s="160">
        <f>180000000+199527000</f>
        <v>379527000</v>
      </c>
      <c r="M13" s="157">
        <f>19573.34+17172.51</f>
        <v>36745.85</v>
      </c>
      <c r="N13" s="161">
        <f>489961217+443386824</f>
        <v>933348041</v>
      </c>
      <c r="O13" s="159"/>
      <c r="P13" s="162">
        <v>0</v>
      </c>
      <c r="Q13" s="157">
        <f t="shared" si="0"/>
        <v>278082.53999999998</v>
      </c>
      <c r="R13" s="149">
        <f>J13+L13+N13</f>
        <v>8020089041</v>
      </c>
      <c r="S13" s="106">
        <f t="shared" si="2"/>
        <v>977135.89999999991</v>
      </c>
      <c r="T13" s="63">
        <f t="shared" si="3"/>
        <v>24281100654</v>
      </c>
      <c r="U13" s="99"/>
      <c r="V13" s="107"/>
      <c r="W13" s="98"/>
      <c r="X13" s="98"/>
      <c r="Y13" s="98"/>
    </row>
    <row r="14" spans="1:25" s="51" customFormat="1" ht="38.25" customHeight="1" x14ac:dyDescent="0.25">
      <c r="A14" s="45">
        <v>7</v>
      </c>
      <c r="B14" s="103" t="s">
        <v>62</v>
      </c>
      <c r="C14" s="108" t="s">
        <v>63</v>
      </c>
      <c r="D14" s="109" t="s">
        <v>64</v>
      </c>
      <c r="E14" s="165">
        <f>(382169600+295631930)*0.3</f>
        <v>203340459</v>
      </c>
      <c r="F14" s="107">
        <v>3799544425</v>
      </c>
      <c r="G14" s="169">
        <v>0</v>
      </c>
      <c r="H14" s="107">
        <v>0</v>
      </c>
      <c r="I14" s="163"/>
      <c r="J14" s="110"/>
      <c r="K14" s="163"/>
      <c r="L14" s="110"/>
      <c r="M14" s="163"/>
      <c r="N14" s="98"/>
      <c r="O14" s="165">
        <f>200876.86+254175.57</f>
        <v>455052.43</v>
      </c>
      <c r="P14" s="164">
        <f>4100000+4735000</f>
        <v>8835000</v>
      </c>
      <c r="Q14" s="165">
        <f t="shared" si="0"/>
        <v>455052.43</v>
      </c>
      <c r="R14" s="149">
        <f t="shared" si="1"/>
        <v>8835000</v>
      </c>
      <c r="S14" s="170">
        <f t="shared" si="2"/>
        <v>203340459</v>
      </c>
      <c r="T14" s="63">
        <f t="shared" si="3"/>
        <v>3799544425</v>
      </c>
      <c r="U14" s="99"/>
      <c r="V14" s="98"/>
      <c r="W14" s="98"/>
      <c r="X14" s="98"/>
      <c r="Y14" s="98"/>
    </row>
    <row r="15" spans="1:25" s="52" customFormat="1" ht="20.25" hidden="1" customHeight="1" x14ac:dyDescent="0.25">
      <c r="A15" s="145"/>
      <c r="B15" s="145" t="s">
        <v>50</v>
      </c>
      <c r="C15" s="145"/>
      <c r="D15" s="145"/>
      <c r="E15" s="119">
        <f>E8+E9+E10+E11+E12</f>
        <v>23559687.388702758</v>
      </c>
      <c r="F15" s="119"/>
      <c r="G15" s="119">
        <f>G8+G9+G10+G11+G12</f>
        <v>19913768.687999997</v>
      </c>
      <c r="H15" s="119"/>
      <c r="I15" s="119">
        <f>I8+I9+I10+I11+I12</f>
        <v>4718182.2</v>
      </c>
      <c r="J15" s="119"/>
      <c r="K15" s="119">
        <f>K8+K9+K10+K11+K12</f>
        <v>262487.91000000003</v>
      </c>
      <c r="L15" s="119"/>
      <c r="M15" s="119">
        <f>M8+M9+M10+M11+M12</f>
        <v>0</v>
      </c>
      <c r="N15" s="119"/>
      <c r="O15" s="119">
        <f>O8+O9+O10+O11+O12</f>
        <v>23046.48</v>
      </c>
      <c r="P15" s="119"/>
      <c r="Q15" s="119">
        <f>Q8+Q9+Q10+Q11+Q12</f>
        <v>5003716.59</v>
      </c>
      <c r="R15" s="119"/>
      <c r="S15" s="119">
        <f>S8+S9+S10+S11+S12</f>
        <v>38755273.876702763</v>
      </c>
      <c r="T15" s="119"/>
      <c r="U15" s="121"/>
      <c r="V15" s="147"/>
      <c r="W15" s="147"/>
      <c r="X15" s="147"/>
      <c r="Y15" s="147"/>
    </row>
    <row r="16" spans="1:25" s="52" customFormat="1" ht="20.45" hidden="1" customHeight="1" x14ac:dyDescent="0.25">
      <c r="A16" s="145"/>
      <c r="B16" s="145" t="s">
        <v>28</v>
      </c>
      <c r="C16" s="145"/>
      <c r="D16" s="145"/>
      <c r="E16" s="120">
        <f>E13</f>
        <v>706440.21999999986</v>
      </c>
      <c r="F16" s="120"/>
      <c r="G16" s="120">
        <f t="shared" ref="G16:S16" si="4">G13</f>
        <v>533895.68000000005</v>
      </c>
      <c r="H16" s="120"/>
      <c r="I16" s="120">
        <f t="shared" si="4"/>
        <v>263200</v>
      </c>
      <c r="J16" s="120"/>
      <c r="K16" s="120">
        <f t="shared" si="4"/>
        <v>14882.54</v>
      </c>
      <c r="L16" s="120"/>
      <c r="M16" s="120">
        <f t="shared" si="4"/>
        <v>36745.85</v>
      </c>
      <c r="N16" s="120"/>
      <c r="O16" s="120">
        <f t="shared" si="4"/>
        <v>0</v>
      </c>
      <c r="P16" s="120"/>
      <c r="Q16" s="120">
        <f t="shared" si="4"/>
        <v>278082.53999999998</v>
      </c>
      <c r="R16" s="120"/>
      <c r="S16" s="120">
        <f t="shared" si="4"/>
        <v>977135.89999999991</v>
      </c>
      <c r="T16" s="120"/>
      <c r="U16" s="122"/>
      <c r="V16" s="147"/>
      <c r="W16" s="147"/>
      <c r="X16" s="147"/>
      <c r="Y16" s="147"/>
    </row>
    <row r="17" spans="1:25" s="52" customFormat="1" ht="20.45" hidden="1" customHeight="1" x14ac:dyDescent="0.25">
      <c r="A17" s="145"/>
      <c r="B17" s="145" t="s">
        <v>64</v>
      </c>
      <c r="C17" s="145"/>
      <c r="D17" s="145"/>
      <c r="E17" s="166">
        <f>E14</f>
        <v>203340459</v>
      </c>
      <c r="F17" s="166"/>
      <c r="G17" s="166">
        <f t="shared" ref="G17:S17" si="5">G14</f>
        <v>0</v>
      </c>
      <c r="H17" s="166"/>
      <c r="I17" s="166">
        <f t="shared" si="5"/>
        <v>0</v>
      </c>
      <c r="J17" s="166"/>
      <c r="K17" s="166">
        <f t="shared" si="5"/>
        <v>0</v>
      </c>
      <c r="L17" s="166"/>
      <c r="M17" s="166">
        <f t="shared" si="5"/>
        <v>0</v>
      </c>
      <c r="N17" s="166"/>
      <c r="O17" s="166">
        <f t="shared" si="5"/>
        <v>455052.43</v>
      </c>
      <c r="P17" s="166"/>
      <c r="Q17" s="166">
        <f t="shared" si="5"/>
        <v>455052.43</v>
      </c>
      <c r="R17" s="166"/>
      <c r="S17" s="166">
        <f t="shared" si="5"/>
        <v>203340459</v>
      </c>
      <c r="T17" s="166"/>
      <c r="U17" s="123"/>
      <c r="V17" s="147"/>
      <c r="W17" s="147"/>
      <c r="X17" s="147"/>
      <c r="Y17" s="147"/>
    </row>
    <row r="18" spans="1:25" s="52" customFormat="1" ht="20.45" customHeight="1" x14ac:dyDescent="0.25">
      <c r="A18" s="145"/>
      <c r="B18" s="145" t="s">
        <v>51</v>
      </c>
      <c r="C18" s="145"/>
      <c r="D18" s="145"/>
      <c r="E18" s="61"/>
      <c r="F18" s="62">
        <f>SUM(F8:F14)</f>
        <v>561495995265</v>
      </c>
      <c r="G18" s="62"/>
      <c r="H18" s="62">
        <f t="shared" ref="H18" si="6">SUM(H8:H14)</f>
        <v>476407911810</v>
      </c>
      <c r="I18" s="61"/>
      <c r="J18" s="62">
        <f>SUM(J8:J14)</f>
        <v>119860259000</v>
      </c>
      <c r="K18" s="62"/>
      <c r="L18" s="62">
        <f>SUM(L8:L14)</f>
        <v>6675485000</v>
      </c>
      <c r="M18" s="62"/>
      <c r="N18" s="62">
        <f>SUM(N8:N14)</f>
        <v>933348041</v>
      </c>
      <c r="O18" s="62"/>
      <c r="P18" s="62">
        <f t="shared" ref="P18" si="7">SUM(P8:P14)</f>
        <v>566565000</v>
      </c>
      <c r="Q18" s="62"/>
      <c r="R18" s="62">
        <f>SUM(R8:R14)</f>
        <v>128035657041</v>
      </c>
      <c r="S18" s="62"/>
      <c r="T18" s="62">
        <f>SUM(T8:T14)</f>
        <v>917926248005</v>
      </c>
      <c r="U18" s="62"/>
      <c r="V18" s="62"/>
      <c r="W18" s="145"/>
      <c r="X18" s="145"/>
      <c r="Y18" s="145"/>
    </row>
    <row r="19" spans="1:25" s="51" customFormat="1" x14ac:dyDescent="0.25">
      <c r="B19" s="111"/>
      <c r="E19" s="112"/>
      <c r="F19" s="78"/>
      <c r="G19" s="112"/>
      <c r="H19" s="78"/>
      <c r="I19" s="112"/>
      <c r="J19" s="78"/>
      <c r="K19" s="78"/>
      <c r="L19" s="78"/>
      <c r="M19" s="78"/>
      <c r="N19" s="78"/>
      <c r="O19" s="78"/>
      <c r="P19" s="78"/>
      <c r="Q19" s="78"/>
      <c r="R19" s="78"/>
      <c r="S19" s="112"/>
      <c r="T19" s="78"/>
    </row>
  </sheetData>
  <mergeCells count="24">
    <mergeCell ref="A5:A7"/>
    <mergeCell ref="B5:B7"/>
    <mergeCell ref="C5:C7"/>
    <mergeCell ref="D5:D7"/>
    <mergeCell ref="E5:E7"/>
    <mergeCell ref="F5:F7"/>
    <mergeCell ref="G5:G7"/>
    <mergeCell ref="H5:H7"/>
    <mergeCell ref="S5:S7"/>
    <mergeCell ref="I6:J6"/>
    <mergeCell ref="Y6:Y7"/>
    <mergeCell ref="O6:P6"/>
    <mergeCell ref="Q6:R6"/>
    <mergeCell ref="A2:Y2"/>
    <mergeCell ref="A3:Y3"/>
    <mergeCell ref="I5:R5"/>
    <mergeCell ref="U5:Y5"/>
    <mergeCell ref="T5:T7"/>
    <mergeCell ref="U6:U7"/>
    <mergeCell ref="V6:V7"/>
    <mergeCell ref="W6:W7"/>
    <mergeCell ref="X6:X7"/>
    <mergeCell ref="M6:N6"/>
    <mergeCell ref="K6:L6"/>
  </mergeCells>
  <printOptions horizontalCentered="1"/>
  <pageMargins left="0.19685039370078741" right="0.23622047244094491" top="0.47244094488188981" bottom="0.51181102362204722" header="0.31496062992125984" footer="0.31496062992125984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6" workbookViewId="0">
      <selection activeCell="B23" sqref="B23:H23"/>
    </sheetView>
  </sheetViews>
  <sheetFormatPr defaultRowHeight="15" x14ac:dyDescent="0.25"/>
  <cols>
    <col min="1" max="1" width="5.28515625" style="10" customWidth="1"/>
    <col min="2" max="2" width="44.5703125" style="24" customWidth="1"/>
    <col min="3" max="3" width="17.42578125" style="14" customWidth="1"/>
    <col min="4" max="4" width="17.42578125" style="130" customWidth="1"/>
    <col min="5" max="5" width="19.28515625" style="130" customWidth="1"/>
    <col min="6" max="6" width="17.140625" style="130" customWidth="1"/>
    <col min="7" max="7" width="10.7109375" style="10" customWidth="1"/>
    <col min="8" max="8" width="10.28515625" style="10" customWidth="1"/>
    <col min="9" max="16384" width="9.140625" style="10"/>
  </cols>
  <sheetData>
    <row r="1" spans="1:8" x14ac:dyDescent="0.25">
      <c r="A1" s="14"/>
      <c r="G1" s="11" t="s">
        <v>60</v>
      </c>
    </row>
    <row r="2" spans="1:8" x14ac:dyDescent="0.25">
      <c r="A2" s="179" t="s">
        <v>15</v>
      </c>
      <c r="B2" s="179"/>
      <c r="C2" s="179"/>
      <c r="D2" s="179"/>
      <c r="E2" s="179"/>
      <c r="F2" s="179"/>
      <c r="G2" s="179"/>
      <c r="H2" s="179"/>
    </row>
    <row r="3" spans="1:8" x14ac:dyDescent="0.25">
      <c r="A3" s="179" t="s">
        <v>87</v>
      </c>
      <c r="B3" s="179"/>
      <c r="C3" s="179"/>
      <c r="D3" s="179"/>
      <c r="E3" s="179"/>
      <c r="F3" s="179"/>
      <c r="G3" s="179"/>
      <c r="H3" s="179"/>
    </row>
    <row r="4" spans="1:8" x14ac:dyDescent="0.25">
      <c r="A4" s="181" t="s">
        <v>89</v>
      </c>
      <c r="B4" s="181"/>
      <c r="C4" s="181"/>
      <c r="D4" s="181"/>
      <c r="E4" s="181"/>
      <c r="F4" s="181"/>
      <c r="G4" s="181"/>
      <c r="H4" s="181"/>
    </row>
    <row r="5" spans="1:8" x14ac:dyDescent="0.25">
      <c r="A5" s="17"/>
      <c r="B5" s="23"/>
      <c r="C5" s="84"/>
      <c r="D5" s="131"/>
      <c r="E5" s="131"/>
      <c r="F5" s="131"/>
      <c r="G5" s="17" t="s">
        <v>85</v>
      </c>
      <c r="H5" s="17"/>
    </row>
    <row r="6" spans="1:8" s="21" customFormat="1" ht="65.25" customHeight="1" x14ac:dyDescent="0.25">
      <c r="A6" s="18" t="s">
        <v>1</v>
      </c>
      <c r="B6" s="115" t="s">
        <v>16</v>
      </c>
      <c r="C6" s="18" t="s">
        <v>17</v>
      </c>
      <c r="D6" s="18" t="s">
        <v>81</v>
      </c>
      <c r="E6" s="18" t="s">
        <v>10</v>
      </c>
      <c r="F6" s="18" t="s">
        <v>82</v>
      </c>
      <c r="G6" s="18" t="s">
        <v>20</v>
      </c>
      <c r="H6" s="18" t="s">
        <v>18</v>
      </c>
    </row>
    <row r="7" spans="1:8" s="141" customFormat="1" ht="20.25" customHeight="1" x14ac:dyDescent="0.25">
      <c r="A7" s="12" t="s">
        <v>52</v>
      </c>
      <c r="B7" s="12" t="s">
        <v>53</v>
      </c>
      <c r="C7" s="12" t="s">
        <v>54</v>
      </c>
      <c r="D7" s="12" t="s">
        <v>55</v>
      </c>
      <c r="E7" s="12" t="s">
        <v>56</v>
      </c>
      <c r="F7" s="12" t="s">
        <v>57</v>
      </c>
      <c r="G7" s="12" t="s">
        <v>58</v>
      </c>
      <c r="H7" s="12" t="s">
        <v>59</v>
      </c>
    </row>
    <row r="8" spans="1:8" s="118" customFormat="1" ht="24" customHeight="1" x14ac:dyDescent="0.25">
      <c r="A8" s="18" t="s">
        <v>19</v>
      </c>
      <c r="B8" s="115" t="s">
        <v>22</v>
      </c>
      <c r="C8" s="142"/>
      <c r="D8" s="116"/>
      <c r="E8" s="132"/>
      <c r="F8" s="116"/>
      <c r="G8" s="114"/>
      <c r="H8" s="114"/>
    </row>
    <row r="9" spans="1:8" s="124" customFormat="1" ht="47.25" x14ac:dyDescent="0.25">
      <c r="A9" s="27">
        <v>1</v>
      </c>
      <c r="B9" s="16" t="s">
        <v>68</v>
      </c>
      <c r="C9" s="133">
        <f>'1.01'!E8</f>
        <v>3700140</v>
      </c>
      <c r="D9" s="134">
        <f>'1.01'!F8</f>
        <v>86024025000</v>
      </c>
      <c r="E9" s="133">
        <f>'1.01'!S8</f>
        <v>2960112</v>
      </c>
      <c r="F9" s="79">
        <f>'1.01'!T8</f>
        <v>68112025000</v>
      </c>
      <c r="G9" s="27">
        <v>0</v>
      </c>
      <c r="H9" s="27">
        <v>0</v>
      </c>
    </row>
    <row r="10" spans="1:8" s="125" customFormat="1" ht="20.25" customHeight="1" x14ac:dyDescent="0.25">
      <c r="A10" s="29" t="s">
        <v>24</v>
      </c>
      <c r="B10" s="28" t="s">
        <v>79</v>
      </c>
      <c r="C10" s="132"/>
      <c r="D10" s="30"/>
      <c r="E10" s="132"/>
      <c r="F10" s="80"/>
      <c r="G10" s="29"/>
      <c r="H10" s="29"/>
    </row>
    <row r="11" spans="1:8" s="124" customFormat="1" ht="20.25" customHeight="1" x14ac:dyDescent="0.25">
      <c r="A11" s="27">
        <v>2</v>
      </c>
      <c r="B11" s="16" t="s">
        <v>78</v>
      </c>
      <c r="C11" s="133">
        <f>'1.01'!E9</f>
        <v>1429863.67</v>
      </c>
      <c r="D11" s="135">
        <f>'1.01'!F9</f>
        <v>32821013250</v>
      </c>
      <c r="E11" s="133">
        <f>'1.01'!S9</f>
        <v>1770056.5699999998</v>
      </c>
      <c r="F11" s="81">
        <f>'1.01'!T9</f>
        <v>40713725000</v>
      </c>
      <c r="G11" s="27">
        <v>0</v>
      </c>
      <c r="H11" s="27">
        <v>0</v>
      </c>
    </row>
    <row r="12" spans="1:8" s="125" customFormat="1" ht="20.25" customHeight="1" x14ac:dyDescent="0.25">
      <c r="A12" s="29" t="s">
        <v>29</v>
      </c>
      <c r="B12" s="128" t="s">
        <v>22</v>
      </c>
      <c r="C12" s="30"/>
      <c r="D12" s="30"/>
      <c r="E12" s="30"/>
      <c r="F12" s="30"/>
      <c r="G12" s="29"/>
      <c r="H12" s="29"/>
    </row>
    <row r="13" spans="1:8" s="21" customFormat="1" ht="30" x14ac:dyDescent="0.25">
      <c r="A13" s="13">
        <v>3</v>
      </c>
      <c r="B13" s="25" t="s">
        <v>13</v>
      </c>
      <c r="C13" s="133">
        <f>'1.01'!E10</f>
        <v>2381520.3587027593</v>
      </c>
      <c r="D13" s="56">
        <f>'1.01'!F10</f>
        <v>54726869991.999992</v>
      </c>
      <c r="E13" s="133">
        <f>'1.01'!S10</f>
        <v>2201340.3587027593</v>
      </c>
      <c r="F13" s="56">
        <f>'1.01'!T10</f>
        <v>50497969991.999992</v>
      </c>
      <c r="G13" s="13">
        <v>0</v>
      </c>
      <c r="H13" s="13">
        <v>0</v>
      </c>
    </row>
    <row r="14" spans="1:8" s="118" customFormat="1" ht="24.75" customHeight="1" x14ac:dyDescent="0.25">
      <c r="A14" s="18" t="s">
        <v>47</v>
      </c>
      <c r="B14" s="115" t="s">
        <v>25</v>
      </c>
      <c r="C14" s="132"/>
      <c r="D14" s="117"/>
      <c r="E14" s="132"/>
      <c r="F14" s="117"/>
      <c r="G14" s="113"/>
      <c r="H14" s="113"/>
    </row>
    <row r="15" spans="1:8" s="127" customFormat="1" ht="45" x14ac:dyDescent="0.25">
      <c r="A15" s="31">
        <v>4</v>
      </c>
      <c r="B15" s="32" t="s">
        <v>23</v>
      </c>
      <c r="C15" s="136">
        <f>'1.01'!E11</f>
        <v>16048163.359999999</v>
      </c>
      <c r="D15" s="53">
        <f>'1.01'!F11</f>
        <v>366092379520</v>
      </c>
      <c r="E15" s="133">
        <f>'1.01'!S11</f>
        <v>31271702.500000004</v>
      </c>
      <c r="F15" s="74">
        <f>'1.01'!T11</f>
        <v>717545566434</v>
      </c>
      <c r="G15" s="31">
        <v>0</v>
      </c>
      <c r="H15" s="31">
        <v>0</v>
      </c>
    </row>
    <row r="16" spans="1:8" s="127" customFormat="1" ht="45" x14ac:dyDescent="0.25">
      <c r="A16" s="31">
        <v>5</v>
      </c>
      <c r="B16" s="32" t="s">
        <v>92</v>
      </c>
      <c r="C16" s="136"/>
      <c r="D16" s="53"/>
      <c r="E16" s="133">
        <f>'1.01'!S12</f>
        <v>552062.44799999997</v>
      </c>
      <c r="F16" s="74">
        <f>'1.01'!T12</f>
        <v>12976316500</v>
      </c>
      <c r="G16" s="31"/>
      <c r="H16" s="31"/>
    </row>
    <row r="17" spans="1:8" s="21" customFormat="1" ht="20.45" customHeight="1" x14ac:dyDescent="0.25">
      <c r="A17" s="18" t="s">
        <v>49</v>
      </c>
      <c r="B17" s="115" t="s">
        <v>30</v>
      </c>
      <c r="C17" s="137"/>
      <c r="D17" s="117"/>
      <c r="E17" s="137"/>
      <c r="F17" s="117"/>
      <c r="G17" s="114"/>
      <c r="H17" s="114"/>
    </row>
    <row r="18" spans="1:8" s="21" customFormat="1" ht="33" customHeight="1" x14ac:dyDescent="0.25">
      <c r="A18" s="13">
        <v>6</v>
      </c>
      <c r="B18" s="129" t="s">
        <v>26</v>
      </c>
      <c r="C18" s="138">
        <f>'1.01'!E13</f>
        <v>706440.21999999986</v>
      </c>
      <c r="D18" s="56">
        <f>'1.01'!F13</f>
        <v>18032163078</v>
      </c>
      <c r="E18" s="138">
        <f>'1.01'!S13</f>
        <v>977135.89999999991</v>
      </c>
      <c r="F18" s="56">
        <f>'1.01'!T13</f>
        <v>24281100654</v>
      </c>
      <c r="G18" s="126">
        <v>0</v>
      </c>
      <c r="H18" s="126">
        <v>0</v>
      </c>
    </row>
    <row r="19" spans="1:8" s="21" customFormat="1" ht="20.45" customHeight="1" x14ac:dyDescent="0.25">
      <c r="A19" s="18" t="s">
        <v>80</v>
      </c>
      <c r="B19" s="115" t="s">
        <v>65</v>
      </c>
      <c r="C19" s="139"/>
      <c r="D19" s="117"/>
      <c r="E19" s="139"/>
      <c r="F19" s="117"/>
      <c r="G19" s="114"/>
      <c r="H19" s="114"/>
    </row>
    <row r="20" spans="1:8" s="21" customFormat="1" ht="33" customHeight="1" x14ac:dyDescent="0.25">
      <c r="A20" s="13">
        <v>7</v>
      </c>
      <c r="B20" s="25" t="s">
        <v>62</v>
      </c>
      <c r="C20" s="140">
        <f>'1.01'!E14</f>
        <v>203340459</v>
      </c>
      <c r="D20" s="56">
        <f>'1.01'!F14</f>
        <v>3799544425</v>
      </c>
      <c r="E20" s="140">
        <f>'1.01'!S14</f>
        <v>203340459</v>
      </c>
      <c r="F20" s="56">
        <f>'1.01'!T14</f>
        <v>3799544425</v>
      </c>
      <c r="G20" s="126">
        <v>0</v>
      </c>
      <c r="H20" s="126">
        <v>0</v>
      </c>
    </row>
    <row r="21" spans="1:8" s="118" customFormat="1" ht="21.75" customHeight="1" x14ac:dyDescent="0.25">
      <c r="A21" s="18"/>
      <c r="B21" s="115" t="s">
        <v>21</v>
      </c>
      <c r="C21" s="117"/>
      <c r="D21" s="117">
        <f>SUM(D9:D20)</f>
        <v>561495995265</v>
      </c>
      <c r="E21" s="116"/>
      <c r="F21" s="117">
        <f>SUM(F9:F20)</f>
        <v>917926248005</v>
      </c>
      <c r="G21" s="114">
        <f t="shared" ref="G21:H21" si="0">G13</f>
        <v>0</v>
      </c>
      <c r="H21" s="114">
        <f t="shared" si="0"/>
        <v>0</v>
      </c>
    </row>
    <row r="23" spans="1:8" ht="41.25" customHeight="1" x14ac:dyDescent="0.25">
      <c r="A23" s="44"/>
      <c r="B23" s="180"/>
      <c r="C23" s="180"/>
      <c r="D23" s="180"/>
      <c r="E23" s="180"/>
      <c r="F23" s="180"/>
      <c r="G23" s="180"/>
      <c r="H23" s="180"/>
    </row>
  </sheetData>
  <mergeCells count="4">
    <mergeCell ref="A2:H2"/>
    <mergeCell ref="A3:H3"/>
    <mergeCell ref="B23:H23"/>
    <mergeCell ref="A4:H4"/>
  </mergeCells>
  <pageMargins left="0.39370078740157499" right="0.23622047244094499" top="0.34055118099999998" bottom="0.30118110199999998" header="0.31496062992126" footer="0.31496062992126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D10" workbookViewId="0">
      <selection activeCell="H19" sqref="H19"/>
    </sheetView>
  </sheetViews>
  <sheetFormatPr defaultRowHeight="15" x14ac:dyDescent="0.25"/>
  <cols>
    <col min="1" max="1" width="3.7109375" style="1" customWidth="1"/>
    <col min="2" max="2" width="45.85546875" style="1" customWidth="1"/>
    <col min="3" max="3" width="19" style="35" customWidth="1"/>
    <col min="4" max="4" width="17" style="35" customWidth="1"/>
    <col min="5" max="5" width="17.28515625" style="35" customWidth="1"/>
    <col min="6" max="6" width="15.28515625" style="35" customWidth="1"/>
    <col min="7" max="8" width="16.85546875" style="35" customWidth="1"/>
    <col min="9" max="16384" width="9.140625" style="1"/>
  </cols>
  <sheetData>
    <row r="1" spans="1:8" x14ac:dyDescent="0.25">
      <c r="A1" s="14"/>
      <c r="B1" s="82"/>
      <c r="C1" s="14"/>
      <c r="D1" s="3"/>
      <c r="E1" s="3"/>
      <c r="F1" s="184" t="s">
        <v>93</v>
      </c>
      <c r="G1" s="184"/>
      <c r="H1" s="184"/>
    </row>
    <row r="2" spans="1:8" ht="15" customHeight="1" x14ac:dyDescent="0.25">
      <c r="A2" s="23"/>
      <c r="B2" s="23"/>
      <c r="C2" s="23"/>
      <c r="D2" s="5"/>
      <c r="E2" s="5"/>
      <c r="F2" s="185" t="s">
        <v>32</v>
      </c>
      <c r="G2" s="185"/>
      <c r="H2" s="185"/>
    </row>
    <row r="3" spans="1:8" x14ac:dyDescent="0.25">
      <c r="A3" s="4"/>
      <c r="B3" s="4"/>
      <c r="C3" s="4"/>
      <c r="D3" s="4"/>
      <c r="E3" s="4"/>
      <c r="F3" s="185"/>
      <c r="G3" s="185"/>
      <c r="H3" s="185"/>
    </row>
    <row r="4" spans="1:8" s="9" customFormat="1" x14ac:dyDescent="0.25">
      <c r="A4" s="186" t="s">
        <v>90</v>
      </c>
      <c r="B4" s="186"/>
      <c r="C4" s="186"/>
      <c r="D4" s="186"/>
      <c r="E4" s="186"/>
      <c r="F4" s="186"/>
      <c r="G4" s="186"/>
      <c r="H4" s="186"/>
    </row>
    <row r="5" spans="1:8" s="9" customFormat="1" x14ac:dyDescent="0.25">
      <c r="A5" s="181" t="s">
        <v>91</v>
      </c>
      <c r="B5" s="181"/>
      <c r="C5" s="181"/>
      <c r="D5" s="181"/>
      <c r="E5" s="181"/>
      <c r="F5" s="181"/>
      <c r="G5" s="181"/>
      <c r="H5" s="181"/>
    </row>
    <row r="6" spans="1:8" x14ac:dyDescent="0.25">
      <c r="A6" s="143"/>
      <c r="B6" s="2"/>
      <c r="C6" s="2"/>
      <c r="D6" s="2"/>
      <c r="E6" s="2"/>
      <c r="F6" s="6"/>
      <c r="G6" s="183" t="s">
        <v>84</v>
      </c>
      <c r="H6" s="183"/>
    </row>
    <row r="7" spans="1:8" ht="45" customHeight="1" x14ac:dyDescent="0.25">
      <c r="A7" s="187" t="s">
        <v>33</v>
      </c>
      <c r="B7" s="187" t="s">
        <v>34</v>
      </c>
      <c r="C7" s="182" t="s">
        <v>35</v>
      </c>
      <c r="D7" s="182" t="s">
        <v>36</v>
      </c>
      <c r="E7" s="182" t="s">
        <v>37</v>
      </c>
      <c r="F7" s="182"/>
      <c r="G7" s="182"/>
      <c r="H7" s="182" t="s">
        <v>83</v>
      </c>
    </row>
    <row r="8" spans="1:8" x14ac:dyDescent="0.25">
      <c r="A8" s="187"/>
      <c r="B8" s="187"/>
      <c r="C8" s="182"/>
      <c r="D8" s="182"/>
      <c r="E8" s="7" t="s">
        <v>5</v>
      </c>
      <c r="F8" s="7" t="s">
        <v>38</v>
      </c>
      <c r="G8" s="7" t="s">
        <v>39</v>
      </c>
      <c r="H8" s="182"/>
    </row>
    <row r="9" spans="1:8" s="4" customFormat="1" x14ac:dyDescent="0.25">
      <c r="A9" s="33" t="s">
        <v>40</v>
      </c>
      <c r="B9" s="33" t="s">
        <v>41</v>
      </c>
      <c r="C9" s="33">
        <v>1</v>
      </c>
      <c r="D9" s="33">
        <v>2</v>
      </c>
      <c r="E9" s="33">
        <v>3</v>
      </c>
      <c r="F9" s="33">
        <v>4</v>
      </c>
      <c r="G9" s="33">
        <v>5</v>
      </c>
      <c r="H9" s="34" t="s">
        <v>42</v>
      </c>
    </row>
    <row r="10" spans="1:8" s="8" customFormat="1" ht="19.5" customHeight="1" x14ac:dyDescent="0.25">
      <c r="A10" s="36"/>
      <c r="B10" s="37" t="s">
        <v>43</v>
      </c>
      <c r="C10" s="64">
        <f>C14</f>
        <v>561495995265</v>
      </c>
      <c r="D10" s="64">
        <f t="shared" ref="D10:H10" si="0">D14</f>
        <v>476407911810</v>
      </c>
      <c r="E10" s="64">
        <f t="shared" si="0"/>
        <v>119860259000</v>
      </c>
      <c r="F10" s="64">
        <f t="shared" si="0"/>
        <v>8175398041</v>
      </c>
      <c r="G10" s="64">
        <f t="shared" si="0"/>
        <v>128035657041</v>
      </c>
      <c r="H10" s="64">
        <f t="shared" si="0"/>
        <v>917926248005</v>
      </c>
    </row>
    <row r="11" spans="1:8" s="40" customFormat="1" ht="28.5" customHeight="1" x14ac:dyDescent="0.25">
      <c r="A11" s="38" t="s">
        <v>19</v>
      </c>
      <c r="B11" s="39" t="s">
        <v>44</v>
      </c>
      <c r="C11" s="65"/>
      <c r="D11" s="65"/>
      <c r="E11" s="66"/>
      <c r="F11" s="66"/>
      <c r="G11" s="67"/>
      <c r="H11" s="68"/>
    </row>
    <row r="12" spans="1:8" s="40" customFormat="1" ht="28.5" customHeight="1" x14ac:dyDescent="0.25">
      <c r="A12" s="38" t="s">
        <v>24</v>
      </c>
      <c r="B12" s="41" t="s">
        <v>45</v>
      </c>
      <c r="C12" s="65"/>
      <c r="D12" s="65"/>
      <c r="E12" s="66"/>
      <c r="F12" s="66"/>
      <c r="G12" s="67"/>
      <c r="H12" s="69"/>
    </row>
    <row r="13" spans="1:8" s="40" customFormat="1" ht="28.5" customHeight="1" x14ac:dyDescent="0.25">
      <c r="A13" s="38" t="s">
        <v>29</v>
      </c>
      <c r="B13" s="41" t="s">
        <v>46</v>
      </c>
      <c r="C13" s="65"/>
      <c r="D13" s="65"/>
      <c r="E13" s="66"/>
      <c r="F13" s="66"/>
      <c r="G13" s="67"/>
      <c r="H13" s="62"/>
    </row>
    <row r="14" spans="1:8" s="40" customFormat="1" ht="28.5" customHeight="1" x14ac:dyDescent="0.25">
      <c r="A14" s="38" t="s">
        <v>47</v>
      </c>
      <c r="B14" s="41" t="s">
        <v>48</v>
      </c>
      <c r="C14" s="70">
        <f t="shared" ref="C14:H14" si="1">SUM(C15:C21)</f>
        <v>561495995265</v>
      </c>
      <c r="D14" s="70">
        <f t="shared" si="1"/>
        <v>476407911810</v>
      </c>
      <c r="E14" s="70">
        <f t="shared" si="1"/>
        <v>119860259000</v>
      </c>
      <c r="F14" s="70">
        <f t="shared" si="1"/>
        <v>8175398041</v>
      </c>
      <c r="G14" s="70">
        <f>SUM(G15:G21)</f>
        <v>128035657041</v>
      </c>
      <c r="H14" s="70">
        <f t="shared" si="1"/>
        <v>917926248005</v>
      </c>
    </row>
    <row r="15" spans="1:8" s="42" customFormat="1" ht="45" x14ac:dyDescent="0.25">
      <c r="A15" s="22">
        <v>1</v>
      </c>
      <c r="B15" s="20" t="s">
        <v>68</v>
      </c>
      <c r="C15" s="71">
        <f>'1.01'!F8</f>
        <v>86024025000</v>
      </c>
      <c r="D15" s="54">
        <f>'1.01'!H8</f>
        <v>0</v>
      </c>
      <c r="E15" s="72">
        <f>'1.01'!J8</f>
        <v>17912000000</v>
      </c>
      <c r="F15" s="55">
        <f>'1.01'!L8+'1.01'!P8</f>
        <v>5019730000</v>
      </c>
      <c r="G15" s="72">
        <f>E15+F15</f>
        <v>22931730000</v>
      </c>
      <c r="H15" s="73">
        <f t="shared" ref="H15:H21" si="2">C15+D15-E15</f>
        <v>68112025000</v>
      </c>
    </row>
    <row r="16" spans="1:8" s="43" customFormat="1" ht="35.25" customHeight="1" x14ac:dyDescent="0.25">
      <c r="A16" s="22">
        <v>2</v>
      </c>
      <c r="B16" s="15" t="s">
        <v>77</v>
      </c>
      <c r="C16" s="58">
        <f>'1.01'!F9</f>
        <v>32821013250</v>
      </c>
      <c r="D16" s="58">
        <f>'1.01'!H9</f>
        <v>12788231750</v>
      </c>
      <c r="E16" s="58">
        <f>'1.01'!J9</f>
        <v>4895520000</v>
      </c>
      <c r="F16" s="74">
        <f>'1.01'!L9+'1.01'!N9+'1.01'!P9</f>
        <v>740258000</v>
      </c>
      <c r="G16" s="73">
        <f>E16+F16</f>
        <v>5635778000</v>
      </c>
      <c r="H16" s="73">
        <f t="shared" si="2"/>
        <v>40713725000</v>
      </c>
    </row>
    <row r="17" spans="1:8" s="43" customFormat="1" ht="35.25" customHeight="1" x14ac:dyDescent="0.25">
      <c r="A17" s="19">
        <v>3</v>
      </c>
      <c r="B17" s="26" t="s">
        <v>66</v>
      </c>
      <c r="C17" s="56">
        <f>'1.01'!F10</f>
        <v>54726869991.999992</v>
      </c>
      <c r="D17" s="56">
        <f>'1.01'!H10</f>
        <v>0</v>
      </c>
      <c r="E17" s="56">
        <f>'1.01'!J10</f>
        <v>4228900000</v>
      </c>
      <c r="F17" s="74">
        <f>'1.01'!L10+'1.01'!N10+'1.01'!P10</f>
        <v>1093700000</v>
      </c>
      <c r="G17" s="73">
        <f>E17+F17</f>
        <v>5322600000</v>
      </c>
      <c r="H17" s="73">
        <f t="shared" si="2"/>
        <v>50497969991.999992</v>
      </c>
    </row>
    <row r="18" spans="1:8" s="43" customFormat="1" ht="35.25" customHeight="1" x14ac:dyDescent="0.25">
      <c r="A18" s="19">
        <v>4</v>
      </c>
      <c r="B18" s="15" t="s">
        <v>23</v>
      </c>
      <c r="C18" s="57">
        <f>'1.01'!F11</f>
        <v>366092379520</v>
      </c>
      <c r="D18" s="57">
        <f>'1.01'!H11</f>
        <v>437687211984</v>
      </c>
      <c r="E18" s="73">
        <f>'1.01'!J11</f>
        <v>86116625000</v>
      </c>
      <c r="F18" s="74">
        <f>'1.01'!L11+'1.01'!N11+'1.01'!P11</f>
        <v>0</v>
      </c>
      <c r="G18" s="73">
        <f>E18+F18</f>
        <v>86116625000</v>
      </c>
      <c r="H18" s="73">
        <f>C18+D18-E18-117400070</f>
        <v>717545566434</v>
      </c>
    </row>
    <row r="19" spans="1:8" s="43" customFormat="1" ht="45" customHeight="1" x14ac:dyDescent="0.25">
      <c r="A19" s="19">
        <v>5</v>
      </c>
      <c r="B19" s="32" t="s">
        <v>92</v>
      </c>
      <c r="C19" s="57"/>
      <c r="D19" s="57">
        <f>'1.01'!H12</f>
        <v>12976316500</v>
      </c>
      <c r="E19" s="73"/>
      <c r="F19" s="74">
        <f>'1.01'!L12+'1.01'!N12+'1.01'!P12</f>
        <v>0</v>
      </c>
      <c r="G19" s="73"/>
      <c r="H19" s="73">
        <f t="shared" si="2"/>
        <v>12976316500</v>
      </c>
    </row>
    <row r="20" spans="1:8" s="40" customFormat="1" ht="20.45" customHeight="1" x14ac:dyDescent="0.25">
      <c r="A20" s="13">
        <v>6</v>
      </c>
      <c r="B20" s="25" t="s">
        <v>26</v>
      </c>
      <c r="C20" s="74">
        <f>'1.01'!F13</f>
        <v>18032163078</v>
      </c>
      <c r="D20" s="56">
        <f>'1.01'!H13</f>
        <v>12956151576</v>
      </c>
      <c r="E20" s="59">
        <f>'1.01'!J13</f>
        <v>6707214000</v>
      </c>
      <c r="F20" s="74">
        <f>'1.01'!L13+'1.01'!N13+'1.01'!P13</f>
        <v>1312875041</v>
      </c>
      <c r="G20" s="73">
        <f>E20+F20</f>
        <v>8020089041</v>
      </c>
      <c r="H20" s="73">
        <f t="shared" si="2"/>
        <v>24281100654</v>
      </c>
    </row>
    <row r="21" spans="1:8" ht="28.5" customHeight="1" x14ac:dyDescent="0.25">
      <c r="A21" s="13">
        <v>7</v>
      </c>
      <c r="B21" s="25" t="s">
        <v>62</v>
      </c>
      <c r="C21" s="74">
        <f>'1.01'!F14</f>
        <v>3799544425</v>
      </c>
      <c r="D21" s="56">
        <f>'1.01'!H14</f>
        <v>0</v>
      </c>
      <c r="E21" s="75">
        <f>'1.01'!J14</f>
        <v>0</v>
      </c>
      <c r="F21" s="74">
        <f>'1.01'!L14+'1.01'!N14+'1.01'!P14</f>
        <v>8835000</v>
      </c>
      <c r="G21" s="73">
        <f>E21+F21</f>
        <v>8835000</v>
      </c>
      <c r="H21" s="73">
        <f t="shared" si="2"/>
        <v>3799544425</v>
      </c>
    </row>
  </sheetData>
  <mergeCells count="11">
    <mergeCell ref="H7:H8"/>
    <mergeCell ref="G6:H6"/>
    <mergeCell ref="F1:H1"/>
    <mergeCell ref="F2:H3"/>
    <mergeCell ref="A4:H4"/>
    <mergeCell ref="A7:A8"/>
    <mergeCell ref="B7:B8"/>
    <mergeCell ref="C7:C8"/>
    <mergeCell ref="D7:D8"/>
    <mergeCell ref="E7:G7"/>
    <mergeCell ref="A5:H5"/>
  </mergeCells>
  <pageMargins left="0.28999999999999998" right="0.2" top="0.61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1.01</vt:lpstr>
      <vt:lpstr>1.02</vt:lpstr>
      <vt:lpstr>PLII-ND93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tuyen</dc:creator>
  <cp:lastModifiedBy>ngothikimphuong</cp:lastModifiedBy>
  <cp:lastPrinted>2023-02-16T03:01:19Z</cp:lastPrinted>
  <dcterms:created xsi:type="dcterms:W3CDTF">2019-07-09T03:53:03Z</dcterms:created>
  <dcterms:modified xsi:type="dcterms:W3CDTF">2023-02-16T03:02:27Z</dcterms:modified>
</cp:coreProperties>
</file>