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My Documents\Quan 2020\Cong khai NS\Nam 2018\"/>
    </mc:Choice>
  </mc:AlternateContent>
  <bookViews>
    <workbookView xWindow="480" yWindow="420" windowWidth="19815" windowHeight="6885" activeTab="2"/>
  </bookViews>
  <sheets>
    <sheet name="60" sheetId="3" r:id="rId1"/>
    <sheet name="59" sheetId="2" r:id="rId2"/>
    <sheet name="61" sheetId="1" r:id="rId3"/>
  </sheets>
  <externalReferences>
    <externalReference r:id="rId4"/>
    <externalReference r:id="rId5"/>
    <externalReference r:id="rId6"/>
  </externalReferences>
  <definedNames>
    <definedName name="_xlnm.Print_Titles" localSheetId="0">'60'!$6:$8</definedName>
    <definedName name="_xlnm.Print_Titles" localSheetId="2">'61'!$5:$7</definedName>
  </definedNames>
  <calcPr calcId="152511"/>
</workbook>
</file>

<file path=xl/calcChain.xml><?xml version="1.0" encoding="utf-8"?>
<calcChain xmlns="http://schemas.openxmlformats.org/spreadsheetml/2006/main">
  <c r="I42" i="1" l="1"/>
  <c r="I41" i="1"/>
  <c r="H20" i="2"/>
  <c r="H15" i="2"/>
  <c r="D14" i="2"/>
  <c r="G41" i="3"/>
  <c r="F41" i="3"/>
  <c r="G40" i="3"/>
  <c r="F40" i="3"/>
  <c r="E39" i="3"/>
  <c r="F39" i="3" s="1"/>
  <c r="D39" i="3"/>
  <c r="C39" i="3"/>
  <c r="C37" i="3"/>
  <c r="G37" i="3" s="1"/>
  <c r="G36" i="3"/>
  <c r="F33" i="3"/>
  <c r="C33" i="3"/>
  <c r="G33" i="3" s="1"/>
  <c r="H32" i="3"/>
  <c r="H33" i="3" s="1"/>
  <c r="G32" i="3"/>
  <c r="F32" i="3"/>
  <c r="E31" i="3"/>
  <c r="E13" i="2" s="1"/>
  <c r="D31" i="3"/>
  <c r="F31" i="3" s="1"/>
  <c r="G29" i="3"/>
  <c r="F29" i="3"/>
  <c r="G28" i="3"/>
  <c r="F28" i="3"/>
  <c r="G27" i="3"/>
  <c r="F27" i="3"/>
  <c r="G25" i="3"/>
  <c r="F25" i="3"/>
  <c r="G24" i="3"/>
  <c r="G23" i="3"/>
  <c r="F23" i="3"/>
  <c r="G22" i="3"/>
  <c r="F22" i="3"/>
  <c r="G21" i="3"/>
  <c r="F21" i="3"/>
  <c r="E19" i="3"/>
  <c r="D19" i="3"/>
  <c r="F19" i="3" s="1"/>
  <c r="C19" i="3"/>
  <c r="C11" i="3" s="1"/>
  <c r="G18" i="3"/>
  <c r="F18" i="3"/>
  <c r="G17" i="3"/>
  <c r="F17" i="3"/>
  <c r="G16" i="3"/>
  <c r="F16" i="3"/>
  <c r="G15" i="3"/>
  <c r="F15" i="3"/>
  <c r="G14" i="3"/>
  <c r="F14" i="3"/>
  <c r="G13" i="3"/>
  <c r="F13" i="3"/>
  <c r="E12" i="3"/>
  <c r="E11" i="3" s="1"/>
  <c r="D12" i="3"/>
  <c r="G11" i="3" l="1"/>
  <c r="H11" i="2" s="1"/>
  <c r="J11" i="3"/>
  <c r="J13" i="3" s="1"/>
  <c r="E11" i="2"/>
  <c r="E10" i="2" s="1"/>
  <c r="E9" i="2" s="1"/>
  <c r="G13" i="2"/>
  <c r="F12" i="3"/>
  <c r="G12" i="3"/>
  <c r="D13" i="2"/>
  <c r="H11" i="3"/>
  <c r="G19" i="3"/>
  <c r="C31" i="3"/>
  <c r="G31" i="3" s="1"/>
  <c r="H13" i="2" s="1"/>
  <c r="D11" i="3"/>
  <c r="D11" i="2" s="1"/>
  <c r="D10" i="2" s="1"/>
  <c r="G39" i="3"/>
  <c r="E10" i="3"/>
  <c r="I11" i="3" l="1"/>
  <c r="J12" i="3" s="1"/>
  <c r="F11" i="3"/>
  <c r="D10" i="3"/>
  <c r="D9" i="3" s="1"/>
  <c r="E9" i="3"/>
  <c r="H10" i="3"/>
  <c r="C10" i="3"/>
  <c r="C9" i="3" s="1"/>
  <c r="G9" i="3" l="1"/>
  <c r="H9" i="3"/>
  <c r="F9" i="3"/>
  <c r="F10" i="3"/>
  <c r="G10" i="3"/>
  <c r="H10" i="2" l="1"/>
  <c r="H9" i="2"/>
  <c r="I22" i="1"/>
  <c r="I19" i="1"/>
  <c r="I18" i="1"/>
  <c r="I17" i="1"/>
  <c r="I14" i="1"/>
  <c r="I12" i="1"/>
  <c r="E8" i="1"/>
  <c r="E33" i="1"/>
  <c r="I24" i="1"/>
  <c r="H19" i="2" s="1"/>
  <c r="I35" i="1"/>
  <c r="I31" i="1"/>
  <c r="E29" i="1"/>
  <c r="E27" i="1"/>
  <c r="E32" i="1"/>
  <c r="E26" i="1"/>
  <c r="I26" i="1" s="1"/>
  <c r="F36" i="2"/>
  <c r="D35" i="2"/>
  <c r="E35" i="2" s="1"/>
  <c r="F35" i="2" s="1"/>
  <c r="F32" i="2"/>
  <c r="D31" i="2"/>
  <c r="E31" i="2" s="1"/>
  <c r="G30" i="2"/>
  <c r="F30" i="2"/>
  <c r="E29" i="2"/>
  <c r="F29" i="2" s="1"/>
  <c r="E28" i="2"/>
  <c r="D28" i="2"/>
  <c r="E27" i="2"/>
  <c r="D27" i="2"/>
  <c r="C26" i="2"/>
  <c r="E25" i="2"/>
  <c r="D25" i="2"/>
  <c r="E24" i="2"/>
  <c r="G24" i="2" s="1"/>
  <c r="D24" i="2"/>
  <c r="E23" i="2"/>
  <c r="D23" i="2"/>
  <c r="E22" i="2"/>
  <c r="F22" i="2" s="1"/>
  <c r="D22" i="2"/>
  <c r="C22" i="2"/>
  <c r="E21" i="2"/>
  <c r="D21" i="2"/>
  <c r="E20" i="2"/>
  <c r="D20" i="2"/>
  <c r="C20" i="2"/>
  <c r="E19" i="2"/>
  <c r="D19" i="2"/>
  <c r="C19" i="2"/>
  <c r="E18" i="2"/>
  <c r="D18" i="2"/>
  <c r="C18" i="2"/>
  <c r="G15" i="2"/>
  <c r="F15" i="2"/>
  <c r="F12" i="2"/>
  <c r="G11" i="2"/>
  <c r="F11" i="2"/>
  <c r="D9" i="2"/>
  <c r="G9" i="2" s="1"/>
  <c r="C10" i="2"/>
  <c r="C9" i="2" s="1"/>
  <c r="K122" i="1"/>
  <c r="K121" i="1"/>
  <c r="K117" i="1"/>
  <c r="K114" i="1"/>
  <c r="K120" i="1" s="1"/>
  <c r="F110" i="1"/>
  <c r="G109" i="1"/>
  <c r="G108" i="1"/>
  <c r="G107" i="1"/>
  <c r="G100" i="1"/>
  <c r="I100" i="1" s="1"/>
  <c r="H29" i="2" s="1"/>
  <c r="G99" i="1"/>
  <c r="I99" i="1" s="1"/>
  <c r="G98" i="1"/>
  <c r="I98" i="1" s="1"/>
  <c r="G97" i="1"/>
  <c r="I97" i="1" s="1"/>
  <c r="G96" i="1"/>
  <c r="I96" i="1" s="1"/>
  <c r="G95" i="1"/>
  <c r="I95" i="1" s="1"/>
  <c r="G94" i="1"/>
  <c r="I94" i="1" s="1"/>
  <c r="G93" i="1"/>
  <c r="I93" i="1" s="1"/>
  <c r="G92" i="1"/>
  <c r="I92" i="1" s="1"/>
  <c r="G91" i="1"/>
  <c r="I91" i="1" s="1"/>
  <c r="H90" i="1"/>
  <c r="G90" i="1"/>
  <c r="I90" i="1" s="1"/>
  <c r="G89" i="1"/>
  <c r="G88" i="1"/>
  <c r="G87" i="1"/>
  <c r="I87" i="1" s="1"/>
  <c r="G86" i="1"/>
  <c r="G85" i="1"/>
  <c r="G84" i="1"/>
  <c r="G83" i="1"/>
  <c r="I83" i="1" s="1"/>
  <c r="G82" i="1"/>
  <c r="G81" i="1"/>
  <c r="G80" i="1"/>
  <c r="G79" i="1"/>
  <c r="I79" i="1" s="1"/>
  <c r="G78" i="1"/>
  <c r="F77" i="1"/>
  <c r="F76" i="1" s="1"/>
  <c r="G75" i="1"/>
  <c r="G74" i="1"/>
  <c r="G73" i="1"/>
  <c r="G72" i="1"/>
  <c r="I72" i="1" s="1"/>
  <c r="G71" i="1"/>
  <c r="G70" i="1"/>
  <c r="G69" i="1"/>
  <c r="I69" i="1" s="1"/>
  <c r="G68" i="1"/>
  <c r="G67" i="1"/>
  <c r="G66" i="1"/>
  <c r="G65" i="1"/>
  <c r="I65" i="1" s="1"/>
  <c r="G64" i="1"/>
  <c r="G63" i="1"/>
  <c r="I63" i="1" s="1"/>
  <c r="G62" i="1"/>
  <c r="G61" i="1"/>
  <c r="I61" i="1" s="1"/>
  <c r="G60" i="1"/>
  <c r="I60" i="1" s="1"/>
  <c r="F59" i="1"/>
  <c r="F58" i="1" s="1"/>
  <c r="G56" i="1"/>
  <c r="G55" i="1"/>
  <c r="I55" i="1" s="1"/>
  <c r="F54" i="1"/>
  <c r="G53" i="1"/>
  <c r="G52" i="1"/>
  <c r="F51" i="1"/>
  <c r="F50" i="1"/>
  <c r="F49" i="1"/>
  <c r="G47" i="1"/>
  <c r="G46" i="1"/>
  <c r="F45" i="1"/>
  <c r="H41" i="1"/>
  <c r="G40" i="1"/>
  <c r="I40" i="1" s="1"/>
  <c r="H23" i="2" s="1"/>
  <c r="F40" i="1"/>
  <c r="F42" i="1" s="1"/>
  <c r="D40" i="1"/>
  <c r="G39" i="1"/>
  <c r="F39" i="1"/>
  <c r="D39" i="1"/>
  <c r="G38" i="1"/>
  <c r="I38" i="1" s="1"/>
  <c r="H21" i="2" s="1"/>
  <c r="F38" i="1"/>
  <c r="D38" i="1"/>
  <c r="G37" i="1"/>
  <c r="H37" i="1" s="1"/>
  <c r="G36" i="1"/>
  <c r="I36" i="1" s="1"/>
  <c r="F36" i="1"/>
  <c r="G35" i="1"/>
  <c r="F35" i="1"/>
  <c r="G34" i="1"/>
  <c r="I34" i="1" s="1"/>
  <c r="F34" i="1"/>
  <c r="D34" i="1"/>
  <c r="G33" i="1"/>
  <c r="F33" i="1"/>
  <c r="D33" i="1"/>
  <c r="C33" i="1"/>
  <c r="G32" i="1"/>
  <c r="I32" i="1" s="1"/>
  <c r="F32" i="1"/>
  <c r="C32" i="1"/>
  <c r="G31" i="1"/>
  <c r="F31" i="1"/>
  <c r="G30" i="1"/>
  <c r="I30" i="1" s="1"/>
  <c r="F30" i="1"/>
  <c r="G29" i="1"/>
  <c r="I29" i="1" s="1"/>
  <c r="F29" i="1"/>
  <c r="G28" i="1"/>
  <c r="I28" i="1" s="1"/>
  <c r="F28" i="1"/>
  <c r="D28" i="1"/>
  <c r="G27" i="1"/>
  <c r="I27" i="1" s="1"/>
  <c r="F27" i="1"/>
  <c r="C27" i="1"/>
  <c r="G26" i="1"/>
  <c r="F26" i="1"/>
  <c r="D26" i="1"/>
  <c r="C26" i="1"/>
  <c r="D24" i="1"/>
  <c r="H22" i="1"/>
  <c r="F20" i="1"/>
  <c r="H19" i="1"/>
  <c r="H18" i="1"/>
  <c r="H17" i="1"/>
  <c r="G16" i="1"/>
  <c r="H16" i="1" s="1"/>
  <c r="G15" i="1"/>
  <c r="I15" i="1" s="1"/>
  <c r="H14" i="1"/>
  <c r="G13" i="1"/>
  <c r="H13" i="1" s="1"/>
  <c r="G11" i="1"/>
  <c r="I11" i="1" s="1"/>
  <c r="H18" i="2" s="1"/>
  <c r="C11" i="1"/>
  <c r="D10" i="1"/>
  <c r="D11" i="1" s="1"/>
  <c r="H70" i="1" l="1"/>
  <c r="I70" i="1"/>
  <c r="I46" i="1"/>
  <c r="H60" i="1"/>
  <c r="H63" i="1"/>
  <c r="H71" i="1"/>
  <c r="I71" i="1"/>
  <c r="H75" i="1"/>
  <c r="I75" i="1"/>
  <c r="H84" i="1"/>
  <c r="I84" i="1"/>
  <c r="H88" i="1"/>
  <c r="I88" i="1"/>
  <c r="H35" i="1"/>
  <c r="H47" i="1"/>
  <c r="I47" i="1"/>
  <c r="H52" i="1"/>
  <c r="I52" i="1"/>
  <c r="H56" i="1"/>
  <c r="I56" i="1"/>
  <c r="H64" i="1"/>
  <c r="I64" i="1"/>
  <c r="H68" i="1"/>
  <c r="I68" i="1"/>
  <c r="H81" i="1"/>
  <c r="I81" i="1"/>
  <c r="H85" i="1"/>
  <c r="I85" i="1"/>
  <c r="H89" i="1"/>
  <c r="I89" i="1"/>
  <c r="H66" i="1"/>
  <c r="I66" i="1"/>
  <c r="H74" i="1"/>
  <c r="I74" i="1"/>
  <c r="I16" i="1"/>
  <c r="G10" i="1"/>
  <c r="I10" i="1" s="1"/>
  <c r="H67" i="1"/>
  <c r="I67" i="1"/>
  <c r="H80" i="1"/>
  <c r="I80" i="1"/>
  <c r="I13" i="1"/>
  <c r="H39" i="1"/>
  <c r="I39" i="1"/>
  <c r="H22" i="2" s="1"/>
  <c r="H53" i="1"/>
  <c r="I53" i="1"/>
  <c r="H62" i="1"/>
  <c r="I62" i="1"/>
  <c r="H73" i="1"/>
  <c r="I73" i="1"/>
  <c r="H78" i="1"/>
  <c r="I78" i="1"/>
  <c r="H82" i="1"/>
  <c r="I82" i="1"/>
  <c r="H86" i="1"/>
  <c r="I86" i="1"/>
  <c r="I33" i="1"/>
  <c r="D34" i="2"/>
  <c r="D17" i="2"/>
  <c r="F21" i="2"/>
  <c r="F27" i="2"/>
  <c r="C17" i="2"/>
  <c r="C16" i="2" s="1"/>
  <c r="F28" i="2"/>
  <c r="D26" i="2"/>
  <c r="G23" i="2"/>
  <c r="G22" i="2"/>
  <c r="F23" i="2"/>
  <c r="G27" i="2"/>
  <c r="F18" i="2"/>
  <c r="G28" i="2"/>
  <c r="F20" i="2"/>
  <c r="G10" i="2"/>
  <c r="F25" i="2"/>
  <c r="E26" i="2"/>
  <c r="F10" i="2"/>
  <c r="F9" i="2" s="1"/>
  <c r="G18" i="2"/>
  <c r="F19" i="2"/>
  <c r="H26" i="1"/>
  <c r="H38" i="1"/>
  <c r="H32" i="1"/>
  <c r="H36" i="1"/>
  <c r="C24" i="1"/>
  <c r="C9" i="1" s="1"/>
  <c r="C8" i="1" s="1"/>
  <c r="G50" i="1"/>
  <c r="J45" i="1" s="1"/>
  <c r="D8" i="1"/>
  <c r="G20" i="1"/>
  <c r="H27" i="1"/>
  <c r="H33" i="1"/>
  <c r="F48" i="1"/>
  <c r="G110" i="1"/>
  <c r="F10" i="1" s="1"/>
  <c r="F9" i="1" s="1"/>
  <c r="K118" i="1"/>
  <c r="G51" i="1"/>
  <c r="F57" i="1"/>
  <c r="F43" i="1" s="1"/>
  <c r="E33" i="2"/>
  <c r="F31" i="2"/>
  <c r="G31" i="2"/>
  <c r="D33" i="2"/>
  <c r="G20" i="2"/>
  <c r="G21" i="2"/>
  <c r="G25" i="2"/>
  <c r="E17" i="2"/>
  <c r="G19" i="2"/>
  <c r="G35" i="2"/>
  <c r="E34" i="2"/>
  <c r="G49" i="1"/>
  <c r="I49" i="1" s="1"/>
  <c r="H15" i="1"/>
  <c r="H28" i="1"/>
  <c r="H29" i="1"/>
  <c r="H30" i="1"/>
  <c r="H31" i="1"/>
  <c r="H34" i="1"/>
  <c r="H40" i="1"/>
  <c r="H42" i="1"/>
  <c r="H46" i="1"/>
  <c r="H55" i="1"/>
  <c r="H61" i="1"/>
  <c r="H65" i="1"/>
  <c r="H69" i="1"/>
  <c r="G77" i="1"/>
  <c r="I77" i="1" s="1"/>
  <c r="H79" i="1"/>
  <c r="H83" i="1"/>
  <c r="H87" i="1"/>
  <c r="H99" i="1"/>
  <c r="K113" i="1"/>
  <c r="K112" i="1" s="1"/>
  <c r="K111" i="1" s="1"/>
  <c r="G45" i="1"/>
  <c r="I45" i="1" s="1"/>
  <c r="G54" i="1"/>
  <c r="I54" i="1" s="1"/>
  <c r="G59" i="1"/>
  <c r="J44" i="1" l="1"/>
  <c r="I59" i="1"/>
  <c r="G58" i="1"/>
  <c r="I58" i="1" s="1"/>
  <c r="H20" i="1"/>
  <c r="I20" i="1"/>
  <c r="F11" i="1"/>
  <c r="H11" i="1" s="1"/>
  <c r="D16" i="2"/>
  <c r="H51" i="1"/>
  <c r="I51" i="1"/>
  <c r="H50" i="1"/>
  <c r="I50" i="1"/>
  <c r="F34" i="2"/>
  <c r="G26" i="2"/>
  <c r="F26" i="2"/>
  <c r="F8" i="1"/>
  <c r="H10" i="1"/>
  <c r="F17" i="2"/>
  <c r="G17" i="2"/>
  <c r="E16" i="2"/>
  <c r="F33" i="2"/>
  <c r="G33" i="2"/>
  <c r="H45" i="1"/>
  <c r="H77" i="1"/>
  <c r="H54" i="1"/>
  <c r="G48" i="1"/>
  <c r="H59" i="1"/>
  <c r="H24" i="1"/>
  <c r="H49" i="1"/>
  <c r="G76" i="1"/>
  <c r="I76" i="1" s="1"/>
  <c r="G9" i="1"/>
  <c r="I9" i="1" l="1"/>
  <c r="H17" i="2" s="1"/>
  <c r="G44" i="1"/>
  <c r="I48" i="1"/>
  <c r="F16" i="2"/>
  <c r="G16" i="2"/>
  <c r="H76" i="1"/>
  <c r="H9" i="1"/>
  <c r="G57" i="1"/>
  <c r="J57" i="1" s="1"/>
  <c r="H58" i="1"/>
  <c r="H44" i="1"/>
  <c r="H48" i="1"/>
  <c r="I44" i="1" l="1"/>
  <c r="G43" i="1"/>
  <c r="G8" i="1" s="1"/>
  <c r="H43" i="1"/>
  <c r="I57" i="1"/>
  <c r="H57" i="1"/>
  <c r="I43" i="1" l="1"/>
  <c r="H26" i="2" s="1"/>
  <c r="I8" i="1" l="1"/>
  <c r="H16" i="2" s="1"/>
  <c r="H8" i="1"/>
</calcChain>
</file>

<file path=xl/comments1.xml><?xml version="1.0" encoding="utf-8"?>
<comments xmlns="http://schemas.openxmlformats.org/spreadsheetml/2006/main">
  <authors>
    <author>NguyenThiNga</author>
  </authors>
  <commentList>
    <comment ref="F10" authorId="0" shapeId="0">
      <text>
        <r>
          <rPr>
            <b/>
            <sz val="9"/>
            <color indexed="81"/>
            <rFont val="Tahoma"/>
            <family val="2"/>
          </rPr>
          <t>NguyenThiNga:</t>
        </r>
        <r>
          <rPr>
            <sz val="9"/>
            <color indexed="81"/>
            <rFont val="Tahoma"/>
            <family val="2"/>
          </rPr>
          <t xml:space="preserve">
công thêm chi từ nguồn tăng thu mới: 30.001 trđ</t>
        </r>
      </text>
    </comment>
    <comment ref="F24" authorId="0" shapeId="0">
      <text>
        <r>
          <rPr>
            <b/>
            <sz val="9"/>
            <color indexed="81"/>
            <rFont val="Tahoma"/>
            <family val="2"/>
          </rPr>
          <t>NguyenThiNga:</t>
        </r>
        <r>
          <rPr>
            <sz val="9"/>
            <color indexed="81"/>
            <rFont val="Tahoma"/>
            <family val="2"/>
          </rPr>
          <t xml:space="preserve">
DT chi TX: 11.543.671trđ + Chi từ nguồn tăng thu mới: 9.448trđ=11.553.119trđ</t>
        </r>
      </text>
    </comment>
  </commentList>
</comments>
</file>

<file path=xl/sharedStrings.xml><?xml version="1.0" encoding="utf-8"?>
<sst xmlns="http://schemas.openxmlformats.org/spreadsheetml/2006/main" count="272" uniqueCount="202">
  <si>
    <t xml:space="preserve">                               ĐVT: Triệu đồng</t>
  </si>
  <si>
    <t>TT</t>
  </si>
  <si>
    <t>Chỉ tiêu</t>
  </si>
  <si>
    <t>Dự toán năm 2018</t>
  </si>
  <si>
    <t>Ước thực hiện năm 2018</t>
  </si>
  <si>
    <t>6 tháng năm 2017</t>
  </si>
  <si>
    <t>A</t>
  </si>
  <si>
    <t>B</t>
  </si>
  <si>
    <t>(3)</t>
  </si>
  <si>
    <t>1</t>
  </si>
  <si>
    <t>2</t>
  </si>
  <si>
    <t>3=2-1</t>
  </si>
  <si>
    <t>TỔNG CHI NSĐP</t>
  </si>
  <si>
    <t>CHI CÂN ĐỐI NSĐP</t>
  </si>
  <si>
    <t>I</t>
  </si>
  <si>
    <t>Chi đầu tư phát triển</t>
  </si>
  <si>
    <t>Chi đầu tư cho các dự án</t>
  </si>
  <si>
    <t>Trong đó: Chia theo nguồn vốn</t>
  </si>
  <si>
    <t>Chi đầu tư XDCB vốn trong nước</t>
  </si>
  <si>
    <t>Chi đầu tư từ nguồn thu phí tham quan</t>
  </si>
  <si>
    <t>Chi đầu tư từ nguồn thu sử dụng đất</t>
  </si>
  <si>
    <t>Chi đầu tư từ nguồn thu xổ số kiến thiết</t>
  </si>
  <si>
    <t>Chi đầu tư từ nguồn thu lợi nhuận sau thuế từ yến sào</t>
  </si>
  <si>
    <t>Chi đầu tư từ nguồn bội chi</t>
  </si>
  <si>
    <t>Chi từ nguồn tăng thu mới năm 2018 được cấp lại</t>
  </si>
  <si>
    <t>Chi đầu tư từ nguồn vốn khác (tăng thu, tiết kiệm chi)</t>
  </si>
  <si>
    <t>Chi đầu tư và hỗ trợ vốn cho doanh nghiệp cung cấp sản phẩm, dịch vụ công ích; các tổ chức kinh tế, các tổ chức tài chính, đầu tư vốn nhà nước vào doanh nghiệp</t>
  </si>
  <si>
    <t>Chi cấp vốn điều lệ cho các Qũy</t>
  </si>
  <si>
    <t>Chi đầu tư phát triển khác</t>
  </si>
  <si>
    <t>II</t>
  </si>
  <si>
    <t>Chi thường xuyên</t>
  </si>
  <si>
    <t xml:space="preserve">Trong đó: </t>
  </si>
  <si>
    <t xml:space="preserve"> - Chi SN giáo dục, đào tạo và dạy nghề</t>
  </si>
  <si>
    <t xml:space="preserve"> - Chi sự nghiệp y tế, dân số và gia đình </t>
  </si>
  <si>
    <t xml:space="preserve"> - Chi SN khoa học và công nghệ</t>
  </si>
  <si>
    <t xml:space="preserve"> - Chi SN văn hóa thông tin </t>
  </si>
  <si>
    <t xml:space="preserve"> - Chi SN phát thanh, truyền hình</t>
  </si>
  <si>
    <t xml:space="preserve"> - Chi SN thể dục thể thao</t>
  </si>
  <si>
    <t xml:space="preserve"> - Chi SN đảm bảo xã hội</t>
  </si>
  <si>
    <t xml:space="preserve"> - Chi SN kinh tế</t>
  </si>
  <si>
    <t xml:space="preserve"> - Chi SN bảo vệ môi trường</t>
  </si>
  <si>
    <t xml:space="preserve"> - Chi quản lý nhà nước, Đảng, đoàn thể</t>
  </si>
  <si>
    <t xml:space="preserve"> - Chi khác </t>
  </si>
  <si>
    <t>III</t>
  </si>
  <si>
    <t>Chi trả nợ lãi các khoản do chính quyền địa phương vay</t>
  </si>
  <si>
    <t>IV</t>
  </si>
  <si>
    <t>Chi bổ sung Quỹ dự trữ tài chính</t>
  </si>
  <si>
    <t>V</t>
  </si>
  <si>
    <t xml:space="preserve">Chi dự phòng ngân sách </t>
  </si>
  <si>
    <t>VI</t>
  </si>
  <si>
    <t>Chi cải cách tiền lương</t>
  </si>
  <si>
    <t>Tạo nguồn cải cách tiền lương</t>
  </si>
  <si>
    <t>Chi thực hiện các chính sách anh sinh xã hội và thực hiện chi đầu tư</t>
  </si>
  <si>
    <t>CHI CÁC CHƯƠNG TRÌNH MỤC TIÊU</t>
  </si>
  <si>
    <t xml:space="preserve">Chương trình mục tiêu quốc gia </t>
  </si>
  <si>
    <t>1.1</t>
  </si>
  <si>
    <t>Chương trình MTQG xây dựng nông thôn mới</t>
  </si>
  <si>
    <t>Vốn đầu tư</t>
  </si>
  <si>
    <t>Vốn thường xuyên</t>
  </si>
  <si>
    <t>1.2</t>
  </si>
  <si>
    <t>Chương trình MTQG giảm nghèo bền vững</t>
  </si>
  <si>
    <t>a)</t>
  </si>
  <si>
    <t>Chương trình 30a</t>
  </si>
  <si>
    <t>Chi đầu tư</t>
  </si>
  <si>
    <t>b)</t>
  </si>
  <si>
    <t>Chương trình 135</t>
  </si>
  <si>
    <t>Chi các chương trình mục tiêu, nhiệm vụ</t>
  </si>
  <si>
    <t>Vốn trong nước</t>
  </si>
  <si>
    <t>Chương trình hỗ trợ người có công với cách mạng về nhà ở theo Quyết định số 22/2013/QĐ-TTg</t>
  </si>
  <si>
    <t>Chương trình mục tiêu hỗ trợ vốn đối ứng ODA cho các địa phương</t>
  </si>
  <si>
    <t>Chương trình mục tiêu phát triển kinh tế - xã hội các vùng</t>
  </si>
  <si>
    <t>Chương trình mục tiêu phát triển kinh tế thủy sản bền vững</t>
  </si>
  <si>
    <t>Chương trình phát triển tái cơ cấu kinh tế nông nghiệp và phòng chống giảm nghẹ thiên tai, ổn định đời sống dân cư</t>
  </si>
  <si>
    <t>Chương trình mục tiêu cấp điện nông thôn, miền núi và hải đảo</t>
  </si>
  <si>
    <t>Chương trình mục tiêu đầu tư hạ tầng khu kinh tế ven biển, khu kinh tế cửa khẩu, KCN, CCN, ...</t>
  </si>
  <si>
    <t>Chương trình mục tiêu phát triển hệ thống y tế địa phương</t>
  </si>
  <si>
    <t>Chương trình mục tiêu phát triển du lịch</t>
  </si>
  <si>
    <t>Chương trình mục tiêu công nghệ thông tin</t>
  </si>
  <si>
    <t>Chương trình mục tiêu phát triển lâm nghiệp bền vững</t>
  </si>
  <si>
    <t>Chương trình mục tiêu quốc phòng, an ninh trên địa bàn trọng điểm</t>
  </si>
  <si>
    <t>Kinh phí khắc phụ lũ lụt</t>
  </si>
  <si>
    <t>Thu hồi ứng các dự án không thuộc các chương trình mục tiêu quy định tại Nghị quyết số 1023/NQ-UBTVQH13 và Quyết định số 40/2015/QĐ-TTg</t>
  </si>
  <si>
    <t xml:space="preserve">Vốn nước ngoài </t>
  </si>
  <si>
    <t>c)</t>
  </si>
  <si>
    <t>Vốn trái phiếu Chính phủ</t>
  </si>
  <si>
    <t>Mua thiết bị chiếu phim và ô tô chuyên dụng</t>
  </si>
  <si>
    <t>Hỗ trợ Hội văn học nghệ thuật</t>
  </si>
  <si>
    <t>Hỗ trợ các Hội Nhà báo</t>
  </si>
  <si>
    <t>Chính sách trợ giúp pháp lý</t>
  </si>
  <si>
    <t>Hỗ trợ kinh phí thực hiện chính sách đối với đối tượng bảo trợ xã hội; hỗ trợ tiền điện hộ nghèo, hộ chính sách xã hội; trợ giá cho nười dân tộc thiểu số nghèo ở vùng khó khăn; hỗ trợ chính sách đối với người có uy tín trong đồng bào dân tộc thiểu số; hỗ trợ tổ chức, đơn vị sử dụng lao động là người dân tộc thiểu số;...</t>
  </si>
  <si>
    <t>Thực hiện nhiệm vụ đảm bảo trật tự an toàn giao thông</t>
  </si>
  <si>
    <t>CTMT giáo dục nghề nghiệp - việc làm và an toàn lao động</t>
  </si>
  <si>
    <t>CTMT Phát triển hệ thống trợ giúp xã hội</t>
  </si>
  <si>
    <t>CTMT Y tế-dân số</t>
  </si>
  <si>
    <t>CTMT Đảm bảo trật tự ATGT, phòng cháy chữa cháy, phòng chống tội phạm và ma túy</t>
  </si>
  <si>
    <t>CTMT phát triển lâm nghiệp bền vững</t>
  </si>
  <si>
    <t>CTMT phát triển văn hóa</t>
  </si>
  <si>
    <t>CTMT tái cơ cấu kinh tế nông nghiệp và phòng chống giảm nhẹ thiên tai, ổn định đời sông dân cư</t>
  </si>
  <si>
    <t>Kinh phí đào tạo, bồi dưỡng cán bộ, công chức cấp cơ sở vùng Tây Nguyên năm 2015, 2016</t>
  </si>
  <si>
    <t>Kinh phí quản lý bảo trì đường bộ để thực hiện khắc phục hậu quả bão lũ đường bộ năm 2017, 2018</t>
  </si>
  <si>
    <t>Kinh phí thực hiện rà soát, xác định ranh giới, cắm mốc, đo đạc, lập bản đồ địa chính và cấp GCN đối với diện tích đất các Công ty nông, lâm nghiệp giữ lại khi sắp xếp theo Nghị định số 118/2014/NĐ-CP</t>
  </si>
  <si>
    <t xml:space="preserve">Kinh phí thực hiện dự án Hoàn thiện, hiện đại hóa hồ sơ, bản đồ, địa giới hành chính và xây dựng cơ sở dữ liệu về địa giới hành chính </t>
  </si>
  <si>
    <t>Hỗ trợ KP hỗ trợ giống cây trồng, vật nuôi, thủy sản do thiên tai năm 2016</t>
  </si>
  <si>
    <t xml:space="preserve">Kinh phí sự nghiệp năm 2018 thực hiện CTMT ứng phó biến đổi khí hậu và tăng trưởng xanh </t>
  </si>
  <si>
    <t>Kinh phí thực hiện chính sách bảo hiểm y tế năm 2016</t>
  </si>
  <si>
    <t>Vốn nước ngoài</t>
  </si>
  <si>
    <t>C</t>
  </si>
  <si>
    <t>CHI CHUYỂN NGUỒN SANG NĂM SAU</t>
  </si>
  <si>
    <t>ĐT</t>
  </si>
  <si>
    <t>ANQP</t>
  </si>
  <si>
    <t>SNVH</t>
  </si>
  <si>
    <t>PTTH</t>
  </si>
  <si>
    <t>SNKT</t>
  </si>
  <si>
    <t>ĐBXH</t>
  </si>
  <si>
    <t>Điện Bàn</t>
  </si>
  <si>
    <t>Tiên Phước  (không thu được)</t>
  </si>
  <si>
    <t>Nam Giang  (không thu được)</t>
  </si>
  <si>
    <t>Phước Sơn</t>
  </si>
  <si>
    <t>Vốn đầu tư CN</t>
  </si>
  <si>
    <t>tại QĐ 1020 ngày 23/3/2018</t>
  </si>
  <si>
    <t>tại QĐ 1202 ngày 06/4/2018</t>
  </si>
  <si>
    <t>tại CV số 1744/UBND-KTTH ngày 09/4/2018</t>
  </si>
  <si>
    <t>tại CV 568/SKHĐT-QHTH ngày 17/5/2018</t>
  </si>
  <si>
    <t>ĐVT: Triệu đồng</t>
  </si>
  <si>
    <t>STT</t>
  </si>
  <si>
    <t>NỘI DUNG</t>
  </si>
  <si>
    <t>6 tháng 2017</t>
  </si>
  <si>
    <t>Thu chuyển nguồn từ năm trước chuyển sang</t>
  </si>
  <si>
    <t> I</t>
  </si>
  <si>
    <t>Tổng chi cân đối NSĐP</t>
  </si>
  <si>
    <t xml:space="preserve">Chi đầu tư phát triển </t>
  </si>
  <si>
    <t>Chi bổ sung quỹ dự trữ tài chính</t>
  </si>
  <si>
    <t>Chi dự phòng ngân sách</t>
  </si>
  <si>
    <t>6.1</t>
  </si>
  <si>
    <t>6.2</t>
  </si>
  <si>
    <t>Chi các chương trình mục tiêu quốc gia</t>
  </si>
  <si>
    <t>Chi chuyển nguồn sang năm sau</t>
  </si>
  <si>
    <t>BỘI CHI NSĐP</t>
  </si>
  <si>
    <t>D</t>
  </si>
  <si>
    <t>CHI TRẢ NỢ GỐC CỦA NSĐP</t>
  </si>
  <si>
    <t>Từ nguồn vay để trả nợ gốc</t>
  </si>
  <si>
    <t>Từ nguồn bội thu, tăng thu, tiết kiệm chi, kết dư ngân sách cấp tỉnh</t>
  </si>
  <si>
    <t>E</t>
  </si>
  <si>
    <t>TỔNG MỨC VAY CỦA ĐỊA PHƯƠNG</t>
  </si>
  <si>
    <t>Vay để bù đắp bội chi</t>
  </si>
  <si>
    <t>Vay để trả nợ gốc</t>
  </si>
  <si>
    <t>CÂN ĐỐI NGÂN SÁCH ĐỊA PHƯƠNG NĂM 2018</t>
  </si>
  <si>
    <t>(Kèm theo Báo cáo số 182/BC-UBND ngày 27/11 /2018 của UBND tỉnh)</t>
  </si>
  <si>
    <t>ƯỚC THỰC HIỆN CHI NGÂN SÁCH ĐỊA PHƯƠNG NĂM 2018</t>
  </si>
  <si>
    <t>(Kèm theo Báo cáo số 182/BC-UBND ngày 27/11/2018 của UBND tỉnh)</t>
  </si>
  <si>
    <t>Dự toán năm</t>
  </si>
  <si>
    <t>3=2/1</t>
  </si>
  <si>
    <t>Cùng kỳ năm trước</t>
  </si>
  <si>
    <t>So sánh ước thực hiện với (%)</t>
  </si>
  <si>
    <t>Thực hiện năm 2017</t>
  </si>
  <si>
    <t>Biểu số 61/CK-NSNN</t>
  </si>
  <si>
    <t>Biểu số 59/CK-NSNN</t>
  </si>
  <si>
    <t>Chi các chương trình dự án</t>
  </si>
  <si>
    <t>Cho các chương trình dự án quan trọng vốn đầu tư</t>
  </si>
  <si>
    <t>Cho các nhiệm vụ, chính sách kinh phí thường xuyên</t>
  </si>
  <si>
    <t>TỔNG NGUỒN THU NSNN TRÊN ĐỊA BÀN</t>
  </si>
  <si>
    <t>Thu cân đối NSNN</t>
  </si>
  <si>
    <t>Thu nội địa</t>
  </si>
  <si>
    <t>Thu từ dầu thô</t>
  </si>
  <si>
    <t>Thu viện trợ</t>
  </si>
  <si>
    <t>Chi từ nguồn bổ sung có mục tiêu từ NSTW cho NSĐP</t>
  </si>
  <si>
    <t>UBND TỈNH QUẢNG NAM</t>
  </si>
  <si>
    <t>Biểu số 60/CK-NSNN</t>
  </si>
  <si>
    <t>ƯỚC THỰC HIỆN THU NGÂN SÁCH NHÀ NƯỚC NĂM 2018</t>
  </si>
  <si>
    <t>Đơn vị: Triệu đồng</t>
  </si>
  <si>
    <t>THỰC HIỆN NĂM 2017</t>
  </si>
  <si>
    <t>TỔNG THU NSNN TRÊN ĐỊA BÀN</t>
  </si>
  <si>
    <t>Thu từ khu vực DNNN</t>
  </si>
  <si>
    <t>Thu từ khu vực doanh nghiệp có vốn đầu tư nước ngoài</t>
  </si>
  <si>
    <t>Thu từ khu vực kinh tế ngoài quốc doanh</t>
  </si>
  <si>
    <t>Thuế thu nhập cá nhân</t>
  </si>
  <si>
    <t>Thuế bảo vệ môi trường</t>
  </si>
  <si>
    <t>Lệ phí trước bạ</t>
  </si>
  <si>
    <t>Các loại phí, lệ phí</t>
  </si>
  <si>
    <t>Các khoản thu về nhà, đất</t>
  </si>
  <si>
    <t>-</t>
  </si>
  <si>
    <t>Thuế sử dụng đất nông nghiệp</t>
  </si>
  <si>
    <t>Thuế sử dụng đất phi nông nghiệp</t>
  </si>
  <si>
    <t>Thu tiền sử dụng đất</t>
  </si>
  <si>
    <t>Tiền cho thuê đất, thuê mặt nước</t>
  </si>
  <si>
    <t>Tiền cho thuê và tiền bán nhà ở thuộc sở hữu nhà nước</t>
  </si>
  <si>
    <t>Thu tiền cấp quyền khai thác khoáng sản, tài nguyên nước</t>
  </si>
  <si>
    <t>Thu hồi vốn, thu cổ tức, lợi nhuận được chia của nhà nước và lợi nhuận sau thuế còn lại sau khi trích lập các quỹ của doanh nghiệp nhà nước</t>
  </si>
  <si>
    <t>Thu từ hoạt động xổ số kiến thiết</t>
  </si>
  <si>
    <t>Thu từ quỹ đất công ích và thu hoa lợi công sản khác, thu khác ngân sách xã</t>
  </si>
  <si>
    <t>Thu khác ngân sách</t>
  </si>
  <si>
    <t>Thu từ hoạt động xuất nhập khẩu</t>
  </si>
  <si>
    <t>Thuế giá trị gia tăng thu từ hàng hóa nhập khẩu</t>
  </si>
  <si>
    <t>Thuế xuất khẩu</t>
  </si>
  <si>
    <t>Thuế nhập khẩu</t>
  </si>
  <si>
    <t>Thuế tiêu tiêu thụ đặc biệt thu từ hàng hóa nhập khẩu</t>
  </si>
  <si>
    <t>Thuế bảo vệ môi trường thu từ hàng hóa nhập khẩu</t>
  </si>
  <si>
    <t>Thu khác</t>
  </si>
  <si>
    <t xml:space="preserve">THU NSĐP ĐƯỢC HƯỞNG THEO PHÂN CẤP </t>
  </si>
  <si>
    <t>Từ các khoản thu phân chia</t>
  </si>
  <si>
    <t>Các khoản thu NSĐP được hưởng 100%</t>
  </si>
  <si>
    <t>Thu cân đối từ hoạt động xuất khẩu, nhập khẩu</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</si>
</sst>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00_-;\-* #,##0.00_-;_-* &quot;-&quot;??_-;_-@_-"/>
    <numFmt numFmtId="165" formatCode="_-* #,##0_-;\-* #,##0_-;_-* &quot;-&quot;??_-;_-@_-"/>
    <numFmt numFmtId="166" formatCode="_(* #,##0_);_(* \(#,##0\);_(* &quot;-&quot;??_);_(@_)"/>
    <numFmt numFmtId="167" formatCode="0.0%"/>
  </numFmts>
  <fonts count="15" x14ac:knownFonts="1">
    <font>
      <sz val="10"/>
      <name val="Arial"/>
    </font>
    <font>
      <sz val="11"/>
      <color theme="1"/>
      <name val="Calibri"/>
      <family val="2"/>
      <scheme val="minor"/>
    </font>
    <font>
      <b/>
      <sz val="12"/>
      <name val="Times New Roman"/>
      <family val="1"/>
    </font>
    <font>
      <sz val="12"/>
      <name val="Times New Roman"/>
      <family val="1"/>
    </font>
    <font>
      <i/>
      <sz val="12"/>
      <name val="Times New Roman"/>
      <family val="1"/>
    </font>
    <font>
      <sz val="10"/>
      <name val="Arial"/>
      <family val="2"/>
    </font>
    <font>
      <b/>
      <i/>
      <sz val="12"/>
      <name val="Times New Roman"/>
      <family val="1"/>
    </font>
    <font>
      <b/>
      <u/>
      <sz val="12"/>
      <name val="Times New Roman"/>
      <family val="1"/>
    </font>
    <font>
      <b/>
      <sz val="9"/>
      <color indexed="81"/>
      <name val="Tahoma"/>
      <family val="2"/>
    </font>
    <font>
      <sz val="9"/>
      <color indexed="81"/>
      <name val="Tahoma"/>
      <family val="2"/>
    </font>
    <font>
      <b/>
      <sz val="12"/>
      <color theme="1"/>
      <name val="Times New Roman"/>
      <family val="1"/>
    </font>
    <font>
      <sz val="12"/>
      <color theme="1"/>
      <name val="Times New Roman"/>
      <family val="1"/>
    </font>
    <font>
      <b/>
      <sz val="12"/>
      <color rgb="FF000000"/>
      <name val="Times New Roman"/>
      <family val="1"/>
    </font>
    <font>
      <sz val="12"/>
      <color rgb="FF000000"/>
      <name val="Times New Roman"/>
      <family val="1"/>
    </font>
    <font>
      <sz val="12"/>
      <color rgb="FFFF0000"/>
      <name val="Times New Roman"/>
      <family val="1"/>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rgb="FF000000"/>
      </left>
      <right style="thin">
        <color rgb="FF000000"/>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rgb="FF000000"/>
      </left>
      <right/>
      <top style="hair">
        <color indexed="64"/>
      </top>
      <bottom style="hair">
        <color indexed="64"/>
      </bottom>
      <diagonal/>
    </border>
    <border>
      <left style="thin">
        <color indexed="64"/>
      </left>
      <right/>
      <top style="hair">
        <color indexed="64"/>
      </top>
      <bottom style="thin">
        <color indexed="64"/>
      </bottom>
      <diagonal/>
    </border>
    <border>
      <left style="thin">
        <color auto="1"/>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rgb="FF000000"/>
      </left>
      <right/>
      <top style="hair">
        <color rgb="FF000000"/>
      </top>
      <bottom style="hair">
        <color rgb="FF000000"/>
      </bottom>
      <diagonal/>
    </border>
    <border>
      <left style="thin">
        <color rgb="FF000000"/>
      </left>
      <right/>
      <top style="hair">
        <color rgb="FF000000"/>
      </top>
      <bottom style="thin">
        <color rgb="FF000000"/>
      </bottom>
      <diagonal/>
    </border>
    <border>
      <left style="thin">
        <color rgb="FF000000"/>
      </left>
      <right style="thin">
        <color rgb="FF000000"/>
      </right>
      <top/>
      <bottom style="hair">
        <color rgb="FF000000"/>
      </bottom>
      <diagonal/>
    </border>
    <border>
      <left style="thin">
        <color rgb="FF000000"/>
      </left>
      <right/>
      <top/>
      <bottom style="hair">
        <color rgb="FF000000"/>
      </bottom>
      <diagonal/>
    </border>
    <border>
      <left style="thin">
        <color indexed="64"/>
      </left>
      <right style="thin">
        <color indexed="64"/>
      </right>
      <top style="hair">
        <color indexed="64"/>
      </top>
      <bottom style="thin">
        <color rgb="FF000000"/>
      </bottom>
      <diagonal/>
    </border>
    <border>
      <left style="thin">
        <color indexed="64"/>
      </left>
      <right style="thin">
        <color indexed="64"/>
      </right>
      <top/>
      <bottom/>
      <diagonal/>
    </border>
    <border>
      <left style="thin">
        <color indexed="64"/>
      </left>
      <right/>
      <top/>
      <bottom style="hair">
        <color indexed="64"/>
      </bottom>
      <diagonal/>
    </border>
  </borders>
  <cellStyleXfs count="10">
    <xf numFmtId="0" fontId="0" fillId="0" borderId="0"/>
    <xf numFmtId="164" fontId="5" fillId="0" borderId="0" applyFont="0" applyFill="0" applyBorder="0" applyAlignment="0" applyProtection="0"/>
    <xf numFmtId="9" fontId="5" fillId="0" borderId="0" applyFont="0" applyFill="0" applyBorder="0" applyAlignment="0" applyProtection="0"/>
    <xf numFmtId="0"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0" fontId="1" fillId="0" borderId="0"/>
  </cellStyleXfs>
  <cellXfs count="273">
    <xf numFmtId="0" fontId="0" fillId="0" borderId="0" xfId="0"/>
    <xf numFmtId="4" fontId="2" fillId="0" borderId="0" xfId="0" applyNumberFormat="1" applyFont="1" applyAlignment="1">
      <alignment vertical="center"/>
    </xf>
    <xf numFmtId="0" fontId="3" fillId="0" borderId="0" xfId="0" applyFont="1"/>
    <xf numFmtId="3" fontId="3" fillId="0" borderId="0" xfId="0" applyNumberFormat="1" applyFont="1"/>
    <xf numFmtId="4" fontId="3" fillId="0" borderId="0" xfId="0" applyNumberFormat="1" applyFont="1"/>
    <xf numFmtId="4" fontId="2" fillId="0" borderId="3" xfId="0" applyNumberFormat="1" applyFont="1" applyBorder="1" applyAlignment="1">
      <alignment horizontal="center" vertical="center" wrapText="1"/>
    </xf>
    <xf numFmtId="4" fontId="2" fillId="0" borderId="5" xfId="0" applyNumberFormat="1" applyFont="1" applyBorder="1" applyAlignment="1">
      <alignment horizontal="center" vertical="center" wrapText="1"/>
    </xf>
    <xf numFmtId="3" fontId="3" fillId="0" borderId="4" xfId="0" applyNumberFormat="1" applyFont="1" applyBorder="1" applyAlignment="1">
      <alignment horizontal="center" vertical="center" wrapText="1"/>
    </xf>
    <xf numFmtId="4" fontId="3" fillId="0" borderId="4" xfId="0" applyNumberFormat="1" applyFont="1" applyBorder="1" applyAlignment="1">
      <alignment horizontal="center" vertical="center" wrapText="1"/>
    </xf>
    <xf numFmtId="3" fontId="3" fillId="0" borderId="4" xfId="0" quotePrefix="1" applyNumberFormat="1" applyFont="1" applyBorder="1" applyAlignment="1">
      <alignment horizontal="center" vertical="center" wrapText="1"/>
    </xf>
    <xf numFmtId="3" fontId="2" fillId="0" borderId="7" xfId="0" applyNumberFormat="1" applyFont="1" applyBorder="1" applyAlignment="1">
      <alignment horizontal="center" vertical="center" wrapText="1"/>
    </xf>
    <xf numFmtId="3" fontId="2" fillId="0" borderId="7" xfId="0" applyNumberFormat="1" applyFont="1" applyBorder="1" applyAlignment="1">
      <alignment vertical="center" wrapText="1"/>
    </xf>
    <xf numFmtId="3" fontId="2" fillId="0" borderId="7" xfId="0" applyNumberFormat="1" applyFont="1" applyBorder="1" applyAlignment="1">
      <alignment horizontal="right" vertical="center" wrapText="1"/>
    </xf>
    <xf numFmtId="9" fontId="6" fillId="0" borderId="7" xfId="2" applyFont="1" applyBorder="1" applyAlignment="1">
      <alignment horizontal="center" vertical="center" wrapText="1"/>
    </xf>
    <xf numFmtId="0" fontId="2" fillId="0" borderId="0" xfId="0" applyFont="1"/>
    <xf numFmtId="4" fontId="2" fillId="0" borderId="7" xfId="0" applyNumberFormat="1" applyFont="1" applyBorder="1" applyAlignment="1">
      <alignment vertical="center" wrapText="1"/>
    </xf>
    <xf numFmtId="3" fontId="2" fillId="0" borderId="7" xfId="3" applyNumberFormat="1" applyFont="1" applyBorder="1" applyAlignment="1">
      <alignment vertical="center" wrapText="1"/>
    </xf>
    <xf numFmtId="3" fontId="3" fillId="0" borderId="7" xfId="0" applyNumberFormat="1" applyFont="1" applyBorder="1" applyAlignment="1">
      <alignment horizontal="center" vertical="center" wrapText="1"/>
    </xf>
    <xf numFmtId="4" fontId="3" fillId="0" borderId="7" xfId="0" applyNumberFormat="1" applyFont="1" applyBorder="1" applyAlignment="1">
      <alignment vertical="center" wrapText="1"/>
    </xf>
    <xf numFmtId="3" fontId="3" fillId="0" borderId="8" xfId="0" applyNumberFormat="1" applyFont="1" applyBorder="1" applyAlignment="1">
      <alignment vertical="center" wrapText="1"/>
    </xf>
    <xf numFmtId="3" fontId="3" fillId="0" borderId="8" xfId="3" applyNumberFormat="1" applyFont="1" applyBorder="1" applyAlignment="1">
      <alignment vertical="center" wrapText="1"/>
    </xf>
    <xf numFmtId="3" fontId="3" fillId="0" borderId="7" xfId="0" applyNumberFormat="1" applyFont="1" applyBorder="1" applyAlignment="1">
      <alignment horizontal="right" vertical="center" wrapText="1"/>
    </xf>
    <xf numFmtId="9" fontId="4" fillId="0" borderId="7" xfId="2" applyFont="1" applyBorder="1" applyAlignment="1">
      <alignment horizontal="center" vertical="center" wrapText="1"/>
    </xf>
    <xf numFmtId="3" fontId="4" fillId="0" borderId="8" xfId="0" applyNumberFormat="1" applyFont="1" applyBorder="1" applyAlignment="1">
      <alignment horizontal="center" vertical="center" wrapText="1"/>
    </xf>
    <xf numFmtId="4" fontId="4" fillId="0" borderId="8" xfId="0" applyNumberFormat="1" applyFont="1" applyBorder="1" applyAlignment="1">
      <alignment vertical="center" wrapText="1"/>
    </xf>
    <xf numFmtId="3" fontId="4" fillId="0" borderId="8" xfId="0" applyNumberFormat="1" applyFont="1" applyBorder="1" applyAlignment="1">
      <alignment vertical="center" wrapText="1"/>
    </xf>
    <xf numFmtId="3" fontId="4" fillId="0" borderId="8" xfId="3" applyNumberFormat="1" applyFont="1" applyBorder="1" applyAlignment="1">
      <alignment vertical="center" wrapText="1"/>
    </xf>
    <xf numFmtId="3" fontId="4" fillId="0" borderId="8" xfId="0" applyNumberFormat="1" applyFont="1" applyBorder="1" applyAlignment="1">
      <alignment horizontal="right" vertical="center" wrapText="1"/>
    </xf>
    <xf numFmtId="0" fontId="4" fillId="0" borderId="0" xfId="0" applyFont="1"/>
    <xf numFmtId="3" fontId="4" fillId="0" borderId="7" xfId="0" applyNumberFormat="1" applyFont="1" applyBorder="1" applyAlignment="1">
      <alignment horizontal="center" vertical="center" wrapText="1"/>
    </xf>
    <xf numFmtId="4" fontId="4" fillId="0" borderId="7" xfId="0" applyNumberFormat="1" applyFont="1" applyBorder="1" applyAlignment="1">
      <alignment vertical="center" wrapText="1"/>
    </xf>
    <xf numFmtId="3" fontId="4" fillId="0" borderId="7" xfId="0" applyNumberFormat="1" applyFont="1" applyBorder="1" applyAlignment="1">
      <alignment vertical="center" wrapText="1"/>
    </xf>
    <xf numFmtId="3" fontId="4" fillId="0" borderId="7" xfId="3" applyNumberFormat="1" applyFont="1" applyBorder="1" applyAlignment="1">
      <alignment vertical="center" wrapText="1"/>
    </xf>
    <xf numFmtId="3" fontId="4" fillId="0" borderId="7" xfId="0" applyNumberFormat="1" applyFont="1" applyBorder="1" applyAlignment="1">
      <alignment horizontal="right" vertical="center" wrapText="1"/>
    </xf>
    <xf numFmtId="165" fontId="2" fillId="2" borderId="9" xfId="1" applyNumberFormat="1" applyFont="1" applyFill="1" applyBorder="1" applyAlignment="1">
      <alignment horizontal="center" vertical="center" wrapText="1"/>
    </xf>
    <xf numFmtId="3" fontId="3" fillId="0" borderId="7" xfId="0" applyNumberFormat="1" applyFont="1" applyBorder="1" applyAlignment="1">
      <alignment vertical="center" wrapText="1"/>
    </xf>
    <xf numFmtId="3" fontId="3" fillId="0" borderId="7" xfId="3" applyNumberFormat="1" applyFont="1" applyBorder="1" applyAlignment="1">
      <alignment vertical="center" wrapText="1"/>
    </xf>
    <xf numFmtId="165" fontId="2" fillId="2" borderId="7" xfId="1" applyNumberFormat="1" applyFont="1" applyFill="1" applyBorder="1" applyAlignment="1">
      <alignment horizontal="center" vertical="center" wrapText="1"/>
    </xf>
    <xf numFmtId="3" fontId="2" fillId="0" borderId="0" xfId="0" applyNumberFormat="1" applyFont="1"/>
    <xf numFmtId="3" fontId="3" fillId="0" borderId="7" xfId="3" applyNumberFormat="1" applyFont="1" applyBorder="1" applyAlignment="1">
      <alignment horizontal="right" vertical="center" wrapText="1"/>
    </xf>
    <xf numFmtId="9" fontId="3" fillId="0" borderId="7" xfId="2" applyFont="1" applyBorder="1" applyAlignment="1">
      <alignment horizontal="center" vertical="center" wrapText="1"/>
    </xf>
    <xf numFmtId="4" fontId="2" fillId="0" borderId="7" xfId="3" applyNumberFormat="1" applyFont="1" applyBorder="1" applyAlignment="1">
      <alignment vertical="center" wrapText="1"/>
    </xf>
    <xf numFmtId="3" fontId="2" fillId="0" borderId="7" xfId="3" applyNumberFormat="1" applyFont="1" applyBorder="1" applyAlignment="1">
      <alignment horizontal="right" vertical="center" wrapText="1"/>
    </xf>
    <xf numFmtId="0" fontId="2" fillId="0" borderId="9" xfId="5" applyFont="1" applyBorder="1" applyAlignment="1">
      <alignment vertical="center" wrapText="1"/>
    </xf>
    <xf numFmtId="9" fontId="2" fillId="0" borderId="7" xfId="2" applyFont="1" applyBorder="1" applyAlignment="1">
      <alignment horizontal="center" vertical="center" wrapText="1"/>
    </xf>
    <xf numFmtId="3" fontId="2" fillId="0" borderId="7" xfId="3" applyNumberFormat="1" applyFont="1" applyBorder="1" applyAlignment="1">
      <alignment horizontal="center" vertical="center" wrapText="1"/>
    </xf>
    <xf numFmtId="0" fontId="2" fillId="0" borderId="0" xfId="0" applyFont="1" applyAlignment="1">
      <alignment vertical="center" wrapText="1"/>
    </xf>
    <xf numFmtId="166" fontId="2" fillId="0" borderId="0" xfId="4" applyNumberFormat="1" applyFont="1" applyAlignment="1">
      <alignment vertical="center" wrapText="1"/>
    </xf>
    <xf numFmtId="3" fontId="3" fillId="0" borderId="7" xfId="3" applyNumberFormat="1" applyFont="1" applyBorder="1" applyAlignment="1">
      <alignment horizontal="center" vertical="center" wrapText="1"/>
    </xf>
    <xf numFmtId="0" fontId="3" fillId="0" borderId="0" xfId="0" applyFont="1" applyAlignment="1">
      <alignment vertical="center" wrapText="1"/>
    </xf>
    <xf numFmtId="4" fontId="6" fillId="0" borderId="7" xfId="0" applyNumberFormat="1" applyFont="1" applyBorder="1" applyAlignment="1">
      <alignment vertical="center" wrapText="1"/>
    </xf>
    <xf numFmtId="3" fontId="4" fillId="0" borderId="7" xfId="3" applyNumberFormat="1" applyFont="1" applyBorder="1" applyAlignment="1">
      <alignment horizontal="center" vertical="center" wrapText="1"/>
    </xf>
    <xf numFmtId="3" fontId="4" fillId="0" borderId="7" xfId="3" applyNumberFormat="1" applyFont="1" applyBorder="1" applyAlignment="1">
      <alignment horizontal="right" vertical="center" wrapText="1"/>
    </xf>
    <xf numFmtId="0" fontId="4" fillId="0" borderId="0" xfId="0" applyFont="1" applyAlignment="1">
      <alignment vertical="center" wrapText="1"/>
    </xf>
    <xf numFmtId="3" fontId="6" fillId="0" borderId="7" xfId="0" applyNumberFormat="1" applyFont="1" applyBorder="1" applyAlignment="1">
      <alignment horizontal="center" vertical="center" wrapText="1"/>
    </xf>
    <xf numFmtId="3" fontId="6" fillId="0" borderId="7" xfId="3" applyNumberFormat="1" applyFont="1" applyBorder="1" applyAlignment="1">
      <alignment horizontal="center" vertical="center" wrapText="1"/>
    </xf>
    <xf numFmtId="3" fontId="6" fillId="0" borderId="7" xfId="3" applyNumberFormat="1" applyFont="1" applyBorder="1" applyAlignment="1">
      <alignment horizontal="right" vertical="center" wrapText="1"/>
    </xf>
    <xf numFmtId="0" fontId="6" fillId="0" borderId="0" xfId="0" applyFont="1" applyAlignment="1">
      <alignment vertical="center" wrapText="1"/>
    </xf>
    <xf numFmtId="0" fontId="3" fillId="0" borderId="7" xfId="0" applyFont="1" applyBorder="1" applyAlignment="1">
      <alignment vertical="center" wrapText="1"/>
    </xf>
    <xf numFmtId="3" fontId="3" fillId="0" borderId="7" xfId="1" applyNumberFormat="1" applyFont="1" applyBorder="1" applyAlignment="1">
      <alignment horizontal="right" vertical="center" wrapText="1"/>
    </xf>
    <xf numFmtId="1" fontId="3" fillId="0" borderId="7" xfId="6" applyNumberFormat="1" applyFont="1" applyFill="1" applyBorder="1" applyAlignment="1">
      <alignment horizontal="justify" vertical="center" wrapText="1"/>
    </xf>
    <xf numFmtId="0" fontId="3" fillId="0" borderId="7" xfId="0" applyFont="1" applyFill="1" applyBorder="1" applyAlignment="1">
      <alignment horizontal="justify" vertical="center" wrapText="1"/>
    </xf>
    <xf numFmtId="49" fontId="3" fillId="0" borderId="7" xfId="0" applyNumberFormat="1" applyFont="1" applyFill="1" applyBorder="1" applyAlignment="1">
      <alignment horizontal="justify" vertical="center" wrapText="1"/>
    </xf>
    <xf numFmtId="4" fontId="3" fillId="0" borderId="11" xfId="0" applyNumberFormat="1" applyFont="1" applyBorder="1" applyAlignment="1">
      <alignment vertical="center" wrapText="1"/>
    </xf>
    <xf numFmtId="49" fontId="3" fillId="0" borderId="11" xfId="7" applyNumberFormat="1" applyFont="1" applyFill="1" applyBorder="1" applyAlignment="1">
      <alignment horizontal="justify" vertical="center" wrapText="1"/>
    </xf>
    <xf numFmtId="3" fontId="3" fillId="0" borderId="7" xfId="7" applyNumberFormat="1" applyFont="1" applyFill="1" applyBorder="1" applyAlignment="1">
      <alignment horizontal="left" vertical="center" wrapText="1"/>
    </xf>
    <xf numFmtId="49" fontId="3" fillId="0" borderId="7" xfId="7" applyNumberFormat="1" applyFont="1" applyFill="1" applyBorder="1" applyAlignment="1">
      <alignment horizontal="justify" vertical="center" wrapText="1"/>
    </xf>
    <xf numFmtId="0" fontId="3" fillId="0" borderId="7" xfId="0" applyFont="1" applyFill="1" applyBorder="1" applyAlignment="1">
      <alignment horizontal="left" vertical="center" wrapText="1"/>
    </xf>
    <xf numFmtId="0" fontId="3" fillId="0" borderId="7" xfId="7" applyNumberFormat="1" applyFont="1" applyFill="1" applyBorder="1" applyAlignment="1">
      <alignment vertical="center" wrapText="1"/>
    </xf>
    <xf numFmtId="3" fontId="2" fillId="0" borderId="12" xfId="0" applyNumberFormat="1" applyFont="1" applyBorder="1" applyAlignment="1">
      <alignment horizontal="center" vertical="center" wrapText="1"/>
    </xf>
    <xf numFmtId="4" fontId="2" fillId="0" borderId="12" xfId="0" applyNumberFormat="1" applyFont="1" applyBorder="1" applyAlignment="1">
      <alignment vertical="center" wrapText="1"/>
    </xf>
    <xf numFmtId="3" fontId="2" fillId="0" borderId="12" xfId="3" applyNumberFormat="1" applyFont="1" applyBorder="1" applyAlignment="1">
      <alignment horizontal="center" vertical="center" wrapText="1"/>
    </xf>
    <xf numFmtId="3" fontId="2" fillId="0" borderId="12" xfId="3" applyNumberFormat="1" applyFont="1" applyBorder="1" applyAlignment="1">
      <alignment horizontal="right" vertical="center" wrapText="1"/>
    </xf>
    <xf numFmtId="3" fontId="2" fillId="0" borderId="0" xfId="0" applyNumberFormat="1" applyFont="1" applyBorder="1" applyAlignment="1">
      <alignment horizontal="center" vertical="center" wrapText="1"/>
    </xf>
    <xf numFmtId="4" fontId="2" fillId="0" borderId="0" xfId="0" applyNumberFormat="1" applyFont="1" applyBorder="1" applyAlignment="1">
      <alignment vertical="center" wrapText="1"/>
    </xf>
    <xf numFmtId="3" fontId="2" fillId="0" borderId="0" xfId="3" applyNumberFormat="1" applyFont="1" applyBorder="1" applyAlignment="1">
      <alignment horizontal="center" vertical="center" wrapText="1"/>
    </xf>
    <xf numFmtId="3" fontId="2" fillId="0" borderId="0" xfId="3" applyNumberFormat="1" applyFont="1" applyBorder="1" applyAlignment="1">
      <alignment horizontal="right" vertical="center" wrapText="1"/>
    </xf>
    <xf numFmtId="3" fontId="2" fillId="0" borderId="0" xfId="0" applyNumberFormat="1" applyFont="1" applyBorder="1" applyAlignment="1">
      <alignment horizontal="right" vertical="center" wrapText="1"/>
    </xf>
    <xf numFmtId="0" fontId="3" fillId="0" borderId="0" xfId="0" applyFont="1" applyAlignment="1">
      <alignment horizontal="center" vertical="center" wrapText="1"/>
    </xf>
    <xf numFmtId="3" fontId="2" fillId="0" borderId="4" xfId="0" applyNumberFormat="1" applyFont="1" applyBorder="1" applyAlignment="1">
      <alignment horizontal="center" vertical="center" wrapText="1"/>
    </xf>
    <xf numFmtId="4" fontId="2" fillId="0" borderId="4" xfId="0" applyNumberFormat="1" applyFont="1" applyBorder="1" applyAlignment="1">
      <alignment vertical="center" wrapText="1"/>
    </xf>
    <xf numFmtId="3" fontId="3" fillId="0" borderId="4" xfId="3" applyNumberFormat="1" applyFont="1" applyBorder="1" applyAlignment="1">
      <alignment horizontal="center" vertical="center" wrapText="1"/>
    </xf>
    <xf numFmtId="3" fontId="2" fillId="0" borderId="4" xfId="3" applyNumberFormat="1" applyFont="1" applyBorder="1" applyAlignment="1">
      <alignment horizontal="right" vertical="center" wrapText="1"/>
    </xf>
    <xf numFmtId="0" fontId="3" fillId="0" borderId="4" xfId="0" applyFont="1" applyBorder="1" applyAlignment="1">
      <alignment vertical="center" wrapText="1"/>
    </xf>
    <xf numFmtId="4" fontId="3" fillId="0" borderId="4" xfId="0" applyNumberFormat="1" applyFont="1" applyBorder="1" applyAlignment="1">
      <alignment vertical="center" wrapText="1"/>
    </xf>
    <xf numFmtId="3" fontId="3" fillId="0" borderId="4" xfId="3" applyNumberFormat="1" applyFont="1" applyBorder="1" applyAlignment="1">
      <alignment horizontal="right" vertical="center" wrapText="1"/>
    </xf>
    <xf numFmtId="165" fontId="3" fillId="0" borderId="4" xfId="1" applyNumberFormat="1" applyFont="1" applyBorder="1" applyAlignment="1">
      <alignment vertical="center" wrapText="1"/>
    </xf>
    <xf numFmtId="3" fontId="3" fillId="0" borderId="4" xfId="0" applyNumberFormat="1" applyFont="1" applyBorder="1" applyAlignment="1">
      <alignment vertical="center" wrapText="1"/>
    </xf>
    <xf numFmtId="3" fontId="7" fillId="0" borderId="4" xfId="0" applyNumberFormat="1" applyFont="1" applyBorder="1" applyAlignment="1">
      <alignment vertical="center" wrapText="1"/>
    </xf>
    <xf numFmtId="49" fontId="6" fillId="0" borderId="4" xfId="0" applyNumberFormat="1" applyFont="1" applyBorder="1" applyAlignment="1">
      <alignment horizontal="left" vertical="justify" wrapText="1"/>
    </xf>
    <xf numFmtId="3" fontId="2" fillId="0" borderId="4" xfId="0" applyNumberFormat="1" applyFont="1" applyBorder="1" applyAlignment="1">
      <alignment vertical="justify" wrapText="1"/>
    </xf>
    <xf numFmtId="0" fontId="3" fillId="0" borderId="4" xfId="0" applyFont="1" applyBorder="1"/>
    <xf numFmtId="49" fontId="3" fillId="0" borderId="0" xfId="0" applyNumberFormat="1" applyFont="1" applyBorder="1" applyAlignment="1">
      <alignment horizontal="left" vertical="justify" wrapText="1"/>
    </xf>
    <xf numFmtId="3" fontId="2" fillId="0" borderId="0" xfId="0" applyNumberFormat="1" applyFont="1" applyBorder="1" applyAlignment="1">
      <alignment horizontal="center" vertical="justify" wrapText="1"/>
    </xf>
    <xf numFmtId="49" fontId="2" fillId="0" borderId="0" xfId="0" applyNumberFormat="1" applyFont="1" applyFill="1" applyBorder="1" applyAlignment="1">
      <alignment horizontal="center" vertical="justify" wrapText="1"/>
    </xf>
    <xf numFmtId="49" fontId="2" fillId="3" borderId="0" xfId="0" applyNumberFormat="1" applyFont="1" applyFill="1" applyBorder="1" applyAlignment="1">
      <alignment horizontal="center" vertical="justify" wrapText="1"/>
    </xf>
    <xf numFmtId="3" fontId="2" fillId="3" borderId="0" xfId="0" applyNumberFormat="1" applyFont="1" applyFill="1" applyBorder="1" applyAlignment="1">
      <alignment horizontal="right" vertical="justify" wrapText="1"/>
    </xf>
    <xf numFmtId="49" fontId="2" fillId="0" borderId="0" xfId="0" applyNumberFormat="1" applyFont="1" applyBorder="1" applyAlignment="1">
      <alignment horizontal="left" vertical="justify" wrapText="1"/>
    </xf>
    <xf numFmtId="3" fontId="2" fillId="0" borderId="0" xfId="0" applyNumberFormat="1" applyFont="1" applyBorder="1" applyAlignment="1">
      <alignment horizontal="right" vertical="justify" wrapText="1"/>
    </xf>
    <xf numFmtId="3" fontId="3" fillId="0" borderId="0" xfId="0" applyNumberFormat="1" applyFont="1" applyAlignment="1">
      <alignment horizontal="center"/>
    </xf>
    <xf numFmtId="3" fontId="3" fillId="0" borderId="0" xfId="0" applyNumberFormat="1" applyFont="1" applyAlignment="1">
      <alignment horizontal="left"/>
    </xf>
    <xf numFmtId="49" fontId="3" fillId="0" borderId="0" xfId="0" applyNumberFormat="1" applyFont="1" applyAlignment="1">
      <alignment horizontal="left"/>
    </xf>
    <xf numFmtId="3" fontId="3" fillId="0" borderId="0" xfId="0" applyNumberFormat="1" applyFont="1" applyAlignment="1">
      <alignment horizontal="right"/>
    </xf>
    <xf numFmtId="49" fontId="2" fillId="0" borderId="0" xfId="0" applyNumberFormat="1" applyFont="1" applyAlignment="1">
      <alignment horizontal="left"/>
    </xf>
    <xf numFmtId="3" fontId="2" fillId="0" borderId="0" xfId="0" applyNumberFormat="1" applyFont="1" applyAlignment="1">
      <alignment horizontal="right"/>
    </xf>
    <xf numFmtId="3" fontId="2" fillId="0" borderId="0" xfId="0" applyNumberFormat="1" applyFont="1" applyAlignment="1">
      <alignment horizontal="center"/>
    </xf>
    <xf numFmtId="49" fontId="3" fillId="0" borderId="0" xfId="0" applyNumberFormat="1" applyFont="1" applyAlignment="1"/>
    <xf numFmtId="49" fontId="3" fillId="0" borderId="0" xfId="0" applyNumberFormat="1" applyFont="1" applyAlignment="1">
      <alignment horizontal="left" vertical="center" wrapText="1"/>
    </xf>
    <xf numFmtId="0" fontId="2" fillId="0" borderId="0" xfId="0" applyFont="1" applyFill="1"/>
    <xf numFmtId="3" fontId="2" fillId="0" borderId="0" xfId="0" applyNumberFormat="1" applyFont="1" applyFill="1"/>
    <xf numFmtId="3" fontId="2" fillId="0" borderId="0" xfId="0" applyNumberFormat="1" applyFont="1" applyFill="1" applyAlignment="1">
      <alignment horizontal="center"/>
    </xf>
    <xf numFmtId="3" fontId="7" fillId="0" borderId="0" xfId="0" applyNumberFormat="1" applyFont="1" applyFill="1"/>
    <xf numFmtId="3" fontId="3" fillId="0" borderId="0" xfId="0" applyNumberFormat="1" applyFont="1" applyFill="1" applyAlignment="1">
      <alignment horizontal="right"/>
    </xf>
    <xf numFmtId="3" fontId="3" fillId="0" borderId="0" xfId="0" applyNumberFormat="1" applyFont="1" applyFill="1"/>
    <xf numFmtId="49" fontId="2" fillId="0" borderId="0" xfId="0" applyNumberFormat="1" applyFont="1" applyFill="1" applyAlignment="1">
      <alignment horizontal="left" vertical="center" wrapText="1"/>
    </xf>
    <xf numFmtId="3" fontId="3" fillId="0" borderId="0" xfId="0" applyNumberFormat="1" applyFont="1" applyFill="1" applyAlignment="1">
      <alignment horizontal="center"/>
    </xf>
    <xf numFmtId="0" fontId="3" fillId="0" borderId="0" xfId="0" applyFont="1" applyFill="1"/>
    <xf numFmtId="49" fontId="2" fillId="0" borderId="0" xfId="0" applyNumberFormat="1" applyFont="1" applyFill="1"/>
    <xf numFmtId="49" fontId="3" fillId="0" borderId="0" xfId="0" applyNumberFormat="1" applyFont="1"/>
    <xf numFmtId="0" fontId="3" fillId="0" borderId="9" xfId="5" applyFont="1" applyBorder="1" applyAlignment="1">
      <alignment vertical="center" wrapText="1"/>
    </xf>
    <xf numFmtId="0" fontId="4" fillId="0" borderId="10" xfId="5" applyFont="1" applyBorder="1" applyAlignment="1">
      <alignment vertical="center" wrapText="1"/>
    </xf>
    <xf numFmtId="167" fontId="2" fillId="2" borderId="0" xfId="5" applyNumberFormat="1" applyFont="1" applyFill="1" applyBorder="1" applyAlignment="1">
      <alignment horizontal="center" vertical="center" wrapText="1"/>
    </xf>
    <xf numFmtId="9" fontId="2" fillId="2" borderId="0" xfId="5" applyNumberFormat="1" applyFont="1" applyFill="1" applyBorder="1" applyAlignment="1">
      <alignment horizontal="center" vertical="center" wrapText="1"/>
    </xf>
    <xf numFmtId="3" fontId="2" fillId="0" borderId="15" xfId="0" applyNumberFormat="1" applyFont="1" applyBorder="1" applyAlignment="1">
      <alignment horizontal="right" vertical="center" wrapText="1"/>
    </xf>
    <xf numFmtId="3" fontId="3" fillId="0" borderId="15" xfId="0" applyNumberFormat="1" applyFont="1" applyBorder="1" applyAlignment="1">
      <alignment horizontal="right" vertical="center" wrapText="1"/>
    </xf>
    <xf numFmtId="3" fontId="4" fillId="0" borderId="16" xfId="0" applyNumberFormat="1" applyFont="1" applyBorder="1" applyAlignment="1">
      <alignment horizontal="right" vertical="center" wrapText="1"/>
    </xf>
    <xf numFmtId="3" fontId="4" fillId="0" borderId="15" xfId="0" applyNumberFormat="1" applyFont="1" applyBorder="1" applyAlignment="1">
      <alignment horizontal="right" vertical="center" wrapText="1"/>
    </xf>
    <xf numFmtId="165" fontId="2" fillId="2" borderId="17" xfId="1" applyNumberFormat="1" applyFont="1" applyFill="1" applyBorder="1" applyAlignment="1">
      <alignment horizontal="center" vertical="center" wrapText="1"/>
    </xf>
    <xf numFmtId="166" fontId="2" fillId="0" borderId="15" xfId="4" applyNumberFormat="1" applyFont="1" applyBorder="1" applyAlignment="1">
      <alignment horizontal="right" vertical="center" wrapText="1"/>
    </xf>
    <xf numFmtId="3" fontId="2" fillId="0" borderId="15" xfId="3" applyNumberFormat="1" applyFont="1" applyBorder="1" applyAlignment="1">
      <alignment horizontal="right" vertical="center" wrapText="1"/>
    </xf>
    <xf numFmtId="3" fontId="3" fillId="0" borderId="15" xfId="3" applyNumberFormat="1" applyFont="1" applyBorder="1" applyAlignment="1">
      <alignment horizontal="right" vertical="center" wrapText="1"/>
    </xf>
    <xf numFmtId="3" fontId="6" fillId="0" borderId="15" xfId="0" applyNumberFormat="1" applyFont="1" applyBorder="1" applyAlignment="1">
      <alignment horizontal="right" vertical="center" wrapText="1"/>
    </xf>
    <xf numFmtId="3" fontId="2" fillId="0" borderId="18" xfId="0" applyNumberFormat="1" applyFont="1" applyBorder="1" applyAlignment="1">
      <alignment horizontal="right" vertical="center" wrapText="1"/>
    </xf>
    <xf numFmtId="3" fontId="4" fillId="0" borderId="7" xfId="0" applyNumberFormat="1" applyFont="1" applyBorder="1"/>
    <xf numFmtId="3" fontId="2" fillId="0" borderId="3" xfId="0" applyNumberFormat="1" applyFont="1" applyBorder="1" applyAlignment="1">
      <alignment vertical="center" wrapText="1"/>
    </xf>
    <xf numFmtId="3" fontId="2" fillId="0" borderId="6" xfId="0" applyNumberFormat="1" applyFont="1" applyBorder="1" applyAlignment="1">
      <alignment vertical="center" wrapText="1"/>
    </xf>
    <xf numFmtId="0" fontId="4" fillId="0" borderId="7" xfId="0" applyFont="1" applyFill="1" applyBorder="1" applyAlignment="1">
      <alignment horizontal="justify" vertical="center" wrapText="1"/>
    </xf>
    <xf numFmtId="3" fontId="4" fillId="0" borderId="7" xfId="1" applyNumberFormat="1" applyFont="1" applyBorder="1" applyAlignment="1">
      <alignment horizontal="right"/>
    </xf>
    <xf numFmtId="3" fontId="3" fillId="0" borderId="7" xfId="3" applyNumberFormat="1" applyFont="1" applyFill="1" applyBorder="1" applyAlignment="1">
      <alignment horizontal="right" vertical="center" wrapText="1"/>
    </xf>
    <xf numFmtId="9" fontId="2" fillId="0" borderId="7" xfId="2" applyNumberFormat="1" applyFont="1" applyBorder="1" applyAlignment="1">
      <alignment horizontal="center" vertical="center" wrapText="1"/>
    </xf>
    <xf numFmtId="9" fontId="2" fillId="2" borderId="7" xfId="5" applyNumberFormat="1" applyFont="1" applyFill="1" applyBorder="1" applyAlignment="1">
      <alignment horizontal="center" vertical="center" wrapText="1"/>
    </xf>
    <xf numFmtId="165" fontId="3" fillId="2" borderId="7" xfId="1" applyNumberFormat="1" applyFont="1" applyFill="1" applyBorder="1" applyAlignment="1">
      <alignment horizontal="center" vertical="center" wrapText="1"/>
    </xf>
    <xf numFmtId="9" fontId="3" fillId="2" borderId="7" xfId="5" applyNumberFormat="1" applyFont="1" applyFill="1" applyBorder="1" applyAlignment="1">
      <alignment horizontal="center" vertical="center" wrapText="1"/>
    </xf>
    <xf numFmtId="38" fontId="3" fillId="2" borderId="7" xfId="1" applyNumberFormat="1" applyFont="1" applyFill="1" applyBorder="1" applyAlignment="1">
      <alignment horizontal="right" vertical="center" wrapText="1"/>
    </xf>
    <xf numFmtId="165" fontId="3" fillId="2" borderId="12" xfId="1" applyNumberFormat="1" applyFont="1" applyFill="1" applyBorder="1" applyAlignment="1">
      <alignment horizontal="center" vertical="center" wrapText="1"/>
    </xf>
    <xf numFmtId="9" fontId="3" fillId="2" borderId="12" xfId="5" applyNumberFormat="1" applyFont="1" applyFill="1" applyBorder="1" applyAlignment="1">
      <alignment horizontal="center" vertical="center" wrapText="1"/>
    </xf>
    <xf numFmtId="165" fontId="2" fillId="2" borderId="20" xfId="1" applyNumberFormat="1" applyFont="1" applyFill="1" applyBorder="1" applyAlignment="1">
      <alignment horizontal="center" vertical="center" wrapText="1"/>
    </xf>
    <xf numFmtId="9" fontId="2" fillId="2" borderId="20" xfId="5" applyNumberFormat="1" applyFont="1" applyFill="1" applyBorder="1" applyAlignment="1">
      <alignment horizontal="center" vertical="center" wrapText="1"/>
    </xf>
    <xf numFmtId="165" fontId="2" fillId="2" borderId="25" xfId="1" applyNumberFormat="1" applyFont="1" applyFill="1" applyBorder="1" applyAlignment="1">
      <alignment horizontal="center" vertical="center" wrapText="1"/>
    </xf>
    <xf numFmtId="9" fontId="2" fillId="2" borderId="25" xfId="5" applyNumberFormat="1" applyFont="1" applyFill="1" applyBorder="1" applyAlignment="1">
      <alignment horizontal="center" vertical="center" wrapText="1"/>
    </xf>
    <xf numFmtId="0" fontId="10" fillId="0" borderId="0" xfId="9" applyFont="1"/>
    <xf numFmtId="0" fontId="11" fillId="0" borderId="0" xfId="9" applyFont="1"/>
    <xf numFmtId="3" fontId="11" fillId="0" borderId="0" xfId="9" applyNumberFormat="1" applyFont="1"/>
    <xf numFmtId="0" fontId="13" fillId="0" borderId="0" xfId="9" applyFont="1" applyAlignment="1">
      <alignment horizontal="right"/>
    </xf>
    <xf numFmtId="0" fontId="3" fillId="0" borderId="4" xfId="9" applyFont="1" applyBorder="1" applyAlignment="1">
      <alignment horizontal="center" wrapText="1"/>
    </xf>
    <xf numFmtId="0" fontId="3" fillId="0" borderId="19" xfId="9" applyFont="1" applyBorder="1" applyAlignment="1">
      <alignment horizontal="center" wrapText="1"/>
    </xf>
    <xf numFmtId="0" fontId="2" fillId="0" borderId="19" xfId="9" applyFont="1" applyBorder="1" applyAlignment="1">
      <alignment horizontal="left" vertical="center" wrapText="1"/>
    </xf>
    <xf numFmtId="3" fontId="2" fillId="0" borderId="19" xfId="9" applyNumberFormat="1" applyFont="1" applyBorder="1" applyAlignment="1">
      <alignment horizontal="right" vertical="center" wrapText="1"/>
    </xf>
    <xf numFmtId="9" fontId="2" fillId="2" borderId="19" xfId="9" applyNumberFormat="1" applyFont="1" applyFill="1" applyBorder="1" applyAlignment="1">
      <alignment horizontal="center" vertical="center" wrapText="1"/>
    </xf>
    <xf numFmtId="0" fontId="2" fillId="0" borderId="7" xfId="9" applyFont="1" applyBorder="1" applyAlignment="1">
      <alignment horizontal="center" vertical="center" wrapText="1"/>
    </xf>
    <xf numFmtId="0" fontId="2" fillId="0" borderId="7" xfId="9" applyFont="1" applyBorder="1" applyAlignment="1">
      <alignment vertical="center" wrapText="1"/>
    </xf>
    <xf numFmtId="3" fontId="2" fillId="0" borderId="7" xfId="9" applyNumberFormat="1" applyFont="1" applyBorder="1" applyAlignment="1">
      <alignment horizontal="right" vertical="center" wrapText="1"/>
    </xf>
    <xf numFmtId="9" fontId="2" fillId="2" borderId="7" xfId="9" applyNumberFormat="1" applyFont="1" applyFill="1" applyBorder="1" applyAlignment="1">
      <alignment horizontal="center" vertical="center" wrapText="1"/>
    </xf>
    <xf numFmtId="3" fontId="10" fillId="0" borderId="0" xfId="9" applyNumberFormat="1" applyFont="1"/>
    <xf numFmtId="0" fontId="3" fillId="0" borderId="7" xfId="9" applyFont="1" applyBorder="1" applyAlignment="1">
      <alignment horizontal="center" vertical="center" wrapText="1"/>
    </xf>
    <xf numFmtId="0" fontId="3" fillId="0" borderId="7" xfId="9" applyFont="1" applyBorder="1" applyAlignment="1">
      <alignment vertical="center" wrapText="1"/>
    </xf>
    <xf numFmtId="3" fontId="3" fillId="0" borderId="7" xfId="9" applyNumberFormat="1" applyFont="1" applyBorder="1" applyAlignment="1">
      <alignment vertical="center" wrapText="1"/>
    </xf>
    <xf numFmtId="3" fontId="3" fillId="0" borderId="7" xfId="9" applyNumberFormat="1" applyFont="1" applyBorder="1" applyAlignment="1">
      <alignment horizontal="right" vertical="center" wrapText="1"/>
    </xf>
    <xf numFmtId="9" fontId="3" fillId="2" borderId="7" xfId="9" applyNumberFormat="1" applyFont="1" applyFill="1" applyBorder="1" applyAlignment="1">
      <alignment horizontal="center" vertical="center" wrapText="1"/>
    </xf>
    <xf numFmtId="0" fontId="4" fillId="0" borderId="7" xfId="9" applyFont="1" applyBorder="1" applyAlignment="1">
      <alignment horizontal="center" vertical="center" wrapText="1"/>
    </xf>
    <xf numFmtId="0" fontId="4" fillId="0" borderId="7" xfId="9" applyFont="1" applyBorder="1" applyAlignment="1">
      <alignment vertical="center" wrapText="1"/>
    </xf>
    <xf numFmtId="3" fontId="4" fillId="0" borderId="7" xfId="9" applyNumberFormat="1" applyFont="1" applyBorder="1" applyAlignment="1">
      <alignment horizontal="right" vertical="center" wrapText="1"/>
    </xf>
    <xf numFmtId="9" fontId="4" fillId="2" borderId="7" xfId="9" applyNumberFormat="1" applyFont="1" applyFill="1" applyBorder="1" applyAlignment="1">
      <alignment horizontal="center" vertical="center" wrapText="1"/>
    </xf>
    <xf numFmtId="3" fontId="4" fillId="0" borderId="7" xfId="9" applyNumberFormat="1" applyFont="1" applyBorder="1" applyAlignment="1">
      <alignment vertical="center" wrapText="1"/>
    </xf>
    <xf numFmtId="0" fontId="14" fillId="0" borderId="7" xfId="9" applyFont="1" applyBorder="1" applyAlignment="1">
      <alignment horizontal="center" vertical="center" wrapText="1"/>
    </xf>
    <xf numFmtId="0" fontId="14" fillId="0" borderId="7" xfId="9" applyFont="1" applyBorder="1" applyAlignment="1">
      <alignment vertical="center" wrapText="1"/>
    </xf>
    <xf numFmtId="3" fontId="14" fillId="0" borderId="7" xfId="9" applyNumberFormat="1" applyFont="1" applyBorder="1" applyAlignment="1">
      <alignment vertical="center" wrapText="1"/>
    </xf>
    <xf numFmtId="3" fontId="14" fillId="0" borderId="7" xfId="9" applyNumberFormat="1" applyFont="1" applyBorder="1" applyAlignment="1">
      <alignment horizontal="right" vertical="center" wrapText="1"/>
    </xf>
    <xf numFmtId="9" fontId="14" fillId="2" borderId="7" xfId="9" applyNumberFormat="1" applyFont="1" applyFill="1" applyBorder="1" applyAlignment="1">
      <alignment horizontal="center" vertical="center" wrapText="1"/>
    </xf>
    <xf numFmtId="3" fontId="14" fillId="0" borderId="0" xfId="9" applyNumberFormat="1" applyFont="1"/>
    <xf numFmtId="0" fontId="14" fillId="0" borderId="0" xfId="9" applyFont="1"/>
    <xf numFmtId="3" fontId="10" fillId="0" borderId="0" xfId="9" applyNumberFormat="1" applyFont="1" applyAlignment="1">
      <alignment vertical="center"/>
    </xf>
    <xf numFmtId="3" fontId="2" fillId="0" borderId="7" xfId="9" applyNumberFormat="1" applyFont="1" applyBorder="1" applyAlignment="1">
      <alignment vertical="center" wrapText="1"/>
    </xf>
    <xf numFmtId="0" fontId="3" fillId="0" borderId="12" xfId="9" applyFont="1" applyBorder="1" applyAlignment="1">
      <alignment horizontal="center" vertical="center" wrapText="1"/>
    </xf>
    <xf numFmtId="0" fontId="3" fillId="0" borderId="12" xfId="9" applyFont="1" applyBorder="1" applyAlignment="1">
      <alignment vertical="center" wrapText="1"/>
    </xf>
    <xf numFmtId="3" fontId="3" fillId="0" borderId="12" xfId="9" applyNumberFormat="1" applyFont="1" applyBorder="1" applyAlignment="1">
      <alignment vertical="center" wrapText="1"/>
    </xf>
    <xf numFmtId="3" fontId="3" fillId="0" borderId="12" xfId="9" applyNumberFormat="1" applyFont="1" applyBorder="1" applyAlignment="1">
      <alignment horizontal="right" vertical="center" wrapText="1"/>
    </xf>
    <xf numFmtId="9" fontId="3" fillId="2" borderId="12" xfId="9" applyNumberFormat="1" applyFont="1" applyFill="1" applyBorder="1" applyAlignment="1">
      <alignment horizontal="center" vertical="center" wrapText="1"/>
    </xf>
    <xf numFmtId="0" fontId="2" fillId="0" borderId="10" xfId="5" applyFont="1" applyBorder="1" applyAlignment="1">
      <alignment vertical="center" wrapText="1"/>
    </xf>
    <xf numFmtId="9" fontId="2" fillId="0" borderId="12" xfId="2" applyFont="1" applyBorder="1" applyAlignment="1">
      <alignment horizontal="center" vertical="center" wrapText="1"/>
    </xf>
    <xf numFmtId="0" fontId="3" fillId="0" borderId="0" xfId="5" applyFont="1"/>
    <xf numFmtId="0" fontId="2" fillId="0" borderId="0" xfId="5" applyFont="1" applyAlignment="1">
      <alignment horizontal="right"/>
    </xf>
    <xf numFmtId="0" fontId="2" fillId="0" borderId="0" xfId="5" applyFont="1"/>
    <xf numFmtId="0" fontId="3" fillId="0" borderId="4" xfId="5" applyFont="1" applyBorder="1" applyAlignment="1">
      <alignment horizontal="center" vertical="top" wrapText="1"/>
    </xf>
    <xf numFmtId="0" fontId="2" fillId="0" borderId="23" xfId="5" applyFont="1" applyBorder="1" applyAlignment="1">
      <alignment horizontal="center" vertical="center" wrapText="1"/>
    </xf>
    <xf numFmtId="0" fontId="2" fillId="0" borderId="23" xfId="5" applyFont="1" applyBorder="1" applyAlignment="1">
      <alignment vertical="center" wrapText="1"/>
    </xf>
    <xf numFmtId="3" fontId="2" fillId="0" borderId="23" xfId="5" applyNumberFormat="1" applyFont="1" applyBorder="1" applyAlignment="1">
      <alignment vertical="center" wrapText="1"/>
    </xf>
    <xf numFmtId="3" fontId="2" fillId="0" borderId="0" xfId="5" applyNumberFormat="1" applyFont="1"/>
    <xf numFmtId="0" fontId="2" fillId="0" borderId="13" xfId="5" applyFont="1" applyBorder="1" applyAlignment="1">
      <alignment horizontal="center" vertical="top" wrapText="1"/>
    </xf>
    <xf numFmtId="0" fontId="2" fillId="0" borderId="13" xfId="5" applyFont="1" applyBorder="1" applyAlignment="1">
      <alignment vertical="top" wrapText="1"/>
    </xf>
    <xf numFmtId="3" fontId="2" fillId="0" borderId="13" xfId="8" applyNumberFormat="1" applyFont="1" applyBorder="1" applyAlignment="1">
      <alignment horizontal="right" vertical="center" wrapText="1"/>
    </xf>
    <xf numFmtId="3" fontId="2" fillId="0" borderId="21" xfId="8" applyNumberFormat="1" applyFont="1" applyBorder="1" applyAlignment="1">
      <alignment horizontal="right" vertical="center" wrapText="1"/>
    </xf>
    <xf numFmtId="0" fontId="3" fillId="0" borderId="13" xfId="5" applyFont="1" applyBorder="1" applyAlignment="1">
      <alignment horizontal="center" vertical="top" wrapText="1"/>
    </xf>
    <xf numFmtId="0" fontId="3" fillId="0" borderId="13" xfId="5" applyFont="1" applyBorder="1" applyAlignment="1">
      <alignment vertical="top" wrapText="1"/>
    </xf>
    <xf numFmtId="3" fontId="3" fillId="0" borderId="13" xfId="5" applyNumberFormat="1" applyFont="1" applyBorder="1" applyAlignment="1">
      <alignment vertical="center" wrapText="1"/>
    </xf>
    <xf numFmtId="3" fontId="3" fillId="0" borderId="13" xfId="8" applyNumberFormat="1" applyFont="1" applyBorder="1" applyAlignment="1">
      <alignment horizontal="right" vertical="center" wrapText="1"/>
    </xf>
    <xf numFmtId="3" fontId="3" fillId="0" borderId="21" xfId="8" applyNumberFormat="1" applyFont="1" applyBorder="1" applyAlignment="1">
      <alignment horizontal="right" vertical="center" wrapText="1"/>
    </xf>
    <xf numFmtId="0" fontId="2" fillId="0" borderId="13" xfId="5" applyFont="1" applyBorder="1" applyAlignment="1">
      <alignment horizontal="center" vertical="center" wrapText="1"/>
    </xf>
    <xf numFmtId="0" fontId="2" fillId="0" borderId="13" xfId="5" applyFont="1" applyBorder="1" applyAlignment="1">
      <alignment vertical="center" wrapText="1"/>
    </xf>
    <xf numFmtId="3" fontId="2" fillId="0" borderId="13" xfId="5" applyNumberFormat="1" applyFont="1" applyBorder="1" applyAlignment="1">
      <alignment vertical="center" wrapText="1"/>
    </xf>
    <xf numFmtId="3" fontId="2" fillId="0" borderId="21" xfId="5" applyNumberFormat="1" applyFont="1" applyBorder="1" applyAlignment="1">
      <alignment vertical="center" wrapText="1"/>
    </xf>
    <xf numFmtId="3" fontId="3" fillId="0" borderId="21" xfId="5" applyNumberFormat="1" applyFont="1" applyBorder="1" applyAlignment="1">
      <alignment vertical="center" wrapText="1"/>
    </xf>
    <xf numFmtId="0" fontId="3" fillId="0" borderId="13" xfId="5" applyFont="1" applyBorder="1" applyAlignment="1">
      <alignment horizontal="center" vertical="center" wrapText="1"/>
    </xf>
    <xf numFmtId="0" fontId="3" fillId="0" borderId="13" xfId="5" applyFont="1" applyBorder="1" applyAlignment="1">
      <alignment vertical="center" wrapText="1"/>
    </xf>
    <xf numFmtId="3" fontId="3" fillId="0" borderId="21" xfId="5" applyNumberFormat="1" applyFont="1" applyBorder="1" applyAlignment="1">
      <alignment horizontal="right" vertical="center" wrapText="1"/>
    </xf>
    <xf numFmtId="0" fontId="4" fillId="0" borderId="13" xfId="5" applyFont="1" applyBorder="1" applyAlignment="1">
      <alignment horizontal="center" vertical="center" wrapText="1"/>
    </xf>
    <xf numFmtId="3" fontId="4" fillId="0" borderId="13" xfId="5" applyNumberFormat="1" applyFont="1" applyBorder="1" applyAlignment="1">
      <alignment vertical="center" wrapText="1"/>
    </xf>
    <xf numFmtId="3" fontId="4" fillId="0" borderId="21" xfId="5" applyNumberFormat="1" applyFont="1" applyBorder="1" applyAlignment="1">
      <alignment horizontal="right" vertical="center" wrapText="1"/>
    </xf>
    <xf numFmtId="0" fontId="4" fillId="0" borderId="0" xfId="5" applyFont="1"/>
    <xf numFmtId="3" fontId="2" fillId="0" borderId="13" xfId="8" applyNumberFormat="1" applyFont="1" applyBorder="1" applyAlignment="1">
      <alignment vertical="center" wrapText="1"/>
    </xf>
    <xf numFmtId="3" fontId="3" fillId="0" borderId="13" xfId="8" applyNumberFormat="1" applyFont="1" applyBorder="1" applyAlignment="1">
      <alignment vertical="center" wrapText="1"/>
    </xf>
    <xf numFmtId="165" fontId="2" fillId="0" borderId="0" xfId="5" applyNumberFormat="1" applyFont="1"/>
    <xf numFmtId="0" fontId="2" fillId="0" borderId="14" xfId="5" applyFont="1" applyBorder="1" applyAlignment="1">
      <alignment horizontal="center" vertical="center" wrapText="1"/>
    </xf>
    <xf numFmtId="0" fontId="2" fillId="0" borderId="14" xfId="5" applyFont="1" applyBorder="1" applyAlignment="1">
      <alignment horizontal="left" vertical="center" wrapText="1"/>
    </xf>
    <xf numFmtId="3" fontId="2" fillId="0" borderId="14" xfId="5" applyNumberFormat="1" applyFont="1" applyBorder="1" applyAlignment="1">
      <alignment vertical="center" wrapText="1"/>
    </xf>
    <xf numFmtId="3" fontId="2" fillId="0" borderId="14" xfId="8" applyNumberFormat="1" applyFont="1" applyBorder="1" applyAlignment="1">
      <alignment vertical="center" wrapText="1"/>
    </xf>
    <xf numFmtId="3" fontId="2" fillId="0" borderId="22" xfId="8" applyNumberFormat="1" applyFont="1" applyBorder="1" applyAlignment="1">
      <alignment vertical="center" wrapText="1"/>
    </xf>
    <xf numFmtId="165" fontId="2" fillId="0" borderId="0" xfId="1" applyNumberFormat="1" applyFont="1"/>
    <xf numFmtId="0" fontId="2" fillId="0" borderId="23" xfId="5" applyFont="1" applyBorder="1" applyAlignment="1">
      <alignment horizontal="left" vertical="center" wrapText="1"/>
    </xf>
    <xf numFmtId="3" fontId="2" fillId="0" borderId="23" xfId="8" applyNumberFormat="1" applyFont="1" applyBorder="1" applyAlignment="1">
      <alignment vertical="center" wrapText="1"/>
    </xf>
    <xf numFmtId="3" fontId="2" fillId="0" borderId="24" xfId="8" applyNumberFormat="1" applyFont="1" applyBorder="1" applyAlignment="1">
      <alignment vertical="center" wrapText="1"/>
    </xf>
    <xf numFmtId="0" fontId="2" fillId="0" borderId="13" xfId="5" applyFont="1" applyBorder="1" applyAlignment="1">
      <alignment horizontal="left" vertical="center" wrapText="1"/>
    </xf>
    <xf numFmtId="3" fontId="2" fillId="0" borderId="21" xfId="8" applyNumberFormat="1" applyFont="1" applyBorder="1" applyAlignment="1">
      <alignment vertical="center" wrapText="1"/>
    </xf>
    <xf numFmtId="0" fontId="2" fillId="0" borderId="0" xfId="5" applyFont="1" applyBorder="1" applyAlignment="1">
      <alignment horizontal="center" vertical="center" wrapText="1"/>
    </xf>
    <xf numFmtId="0" fontId="2" fillId="0" borderId="0" xfId="5" applyFont="1" applyBorder="1" applyAlignment="1">
      <alignment horizontal="left" vertical="center" wrapText="1"/>
    </xf>
    <xf numFmtId="3" fontId="2" fillId="0" borderId="0" xfId="5" applyNumberFormat="1" applyFont="1" applyBorder="1" applyAlignment="1">
      <alignment vertical="center" wrapText="1"/>
    </xf>
    <xf numFmtId="3" fontId="2" fillId="0" borderId="0" xfId="8" applyNumberFormat="1" applyFont="1" applyBorder="1" applyAlignment="1">
      <alignment vertical="center" wrapText="1"/>
    </xf>
    <xf numFmtId="3" fontId="3" fillId="0" borderId="0" xfId="5" applyNumberFormat="1" applyFont="1"/>
    <xf numFmtId="3" fontId="2" fillId="0" borderId="20" xfId="0" applyNumberFormat="1" applyFont="1" applyBorder="1" applyAlignment="1">
      <alignment horizontal="center" vertical="center" wrapText="1"/>
    </xf>
    <xf numFmtId="4" fontId="2" fillId="0" borderId="20" xfId="0" applyNumberFormat="1" applyFont="1" applyBorder="1" applyAlignment="1">
      <alignment horizontal="center" vertical="center" wrapText="1"/>
    </xf>
    <xf numFmtId="3" fontId="2" fillId="0" borderId="20" xfId="0" applyNumberFormat="1" applyFont="1" applyBorder="1" applyAlignment="1">
      <alignment vertical="center" wrapText="1"/>
    </xf>
    <xf numFmtId="3" fontId="2" fillId="0" borderId="20" xfId="0" applyNumberFormat="1" applyFont="1" applyBorder="1" applyAlignment="1">
      <alignment horizontal="right" vertical="center" wrapText="1"/>
    </xf>
    <xf numFmtId="3" fontId="2" fillId="0" borderId="27" xfId="0" applyNumberFormat="1" applyFont="1" applyBorder="1" applyAlignment="1">
      <alignment horizontal="right" vertical="center" wrapText="1"/>
    </xf>
    <xf numFmtId="9" fontId="2" fillId="0" borderId="20" xfId="2" applyFont="1" applyBorder="1" applyAlignment="1">
      <alignment horizontal="center" vertical="center" wrapText="1"/>
    </xf>
    <xf numFmtId="0" fontId="3" fillId="0" borderId="4" xfId="0" applyFont="1" applyBorder="1" applyAlignment="1">
      <alignment horizontal="center" vertical="center"/>
    </xf>
    <xf numFmtId="3" fontId="3" fillId="0" borderId="0" xfId="0" applyNumberFormat="1" applyFont="1" applyAlignment="1">
      <alignment vertical="center" wrapText="1"/>
    </xf>
    <xf numFmtId="3" fontId="3" fillId="0" borderId="7" xfId="9" applyNumberFormat="1" applyFont="1" applyBorder="1" applyAlignment="1">
      <alignment horizontal="right" vertical="center" wrapText="1"/>
    </xf>
    <xf numFmtId="3" fontId="3" fillId="0" borderId="8" xfId="9" applyNumberFormat="1" applyFont="1" applyBorder="1" applyAlignment="1">
      <alignment horizontal="right" vertical="center" wrapText="1"/>
    </xf>
    <xf numFmtId="3" fontId="3" fillId="0" borderId="26" xfId="9" applyNumberFormat="1" applyFont="1" applyBorder="1" applyAlignment="1">
      <alignment horizontal="right" vertical="center" wrapText="1"/>
    </xf>
    <xf numFmtId="3" fontId="3" fillId="0" borderId="20" xfId="9" applyNumberFormat="1" applyFont="1" applyBorder="1" applyAlignment="1">
      <alignment horizontal="right" vertical="center" wrapText="1"/>
    </xf>
    <xf numFmtId="9" fontId="3" fillId="2" borderId="7" xfId="9" applyNumberFormat="1" applyFont="1" applyFill="1" applyBorder="1" applyAlignment="1">
      <alignment horizontal="center" vertical="center" wrapText="1"/>
    </xf>
    <xf numFmtId="0" fontId="4" fillId="0" borderId="0" xfId="5" applyFont="1" applyAlignment="1">
      <alignment horizontal="center"/>
    </xf>
    <xf numFmtId="0" fontId="12" fillId="0" borderId="0" xfId="9" applyFont="1" applyAlignment="1">
      <alignment horizontal="right"/>
    </xf>
    <xf numFmtId="0" fontId="12" fillId="0" borderId="0" xfId="9" applyFont="1" applyAlignment="1">
      <alignment horizontal="center"/>
    </xf>
    <xf numFmtId="0" fontId="2" fillId="0" borderId="4" xfId="9" applyFont="1" applyBorder="1" applyAlignment="1">
      <alignment horizontal="center" vertical="center" wrapText="1"/>
    </xf>
    <xf numFmtId="0" fontId="2" fillId="0" borderId="2" xfId="9" applyFont="1" applyBorder="1" applyAlignment="1">
      <alignment horizontal="center" vertical="center" wrapText="1"/>
    </xf>
    <xf numFmtId="0" fontId="2" fillId="0" borderId="5" xfId="9" applyFont="1" applyBorder="1" applyAlignment="1">
      <alignment horizontal="center" vertical="center" wrapText="1"/>
    </xf>
    <xf numFmtId="0" fontId="2" fillId="0" borderId="4" xfId="5" applyFont="1" applyBorder="1" applyAlignment="1">
      <alignment horizontal="center" vertical="center" wrapText="1"/>
    </xf>
    <xf numFmtId="3" fontId="2" fillId="0" borderId="4" xfId="0" applyNumberFormat="1" applyFont="1" applyBorder="1" applyAlignment="1">
      <alignment horizontal="center" vertical="center" wrapText="1"/>
    </xf>
    <xf numFmtId="0" fontId="3" fillId="0" borderId="1" xfId="5" applyFont="1" applyBorder="1" applyAlignment="1">
      <alignment horizontal="right"/>
    </xf>
    <xf numFmtId="0" fontId="2" fillId="0" borderId="0" xfId="5" applyFont="1" applyAlignment="1">
      <alignment horizontal="center"/>
    </xf>
    <xf numFmtId="0" fontId="2" fillId="0" borderId="0" xfId="5" applyFont="1" applyAlignment="1">
      <alignment horizontal="right"/>
    </xf>
    <xf numFmtId="3" fontId="7" fillId="0" borderId="0" xfId="0" applyNumberFormat="1" applyFont="1" applyBorder="1" applyAlignment="1">
      <alignment horizontal="left" vertical="center" wrapText="1"/>
    </xf>
    <xf numFmtId="49" fontId="6" fillId="0" borderId="4" xfId="0" applyNumberFormat="1" applyFont="1" applyBorder="1" applyAlignment="1">
      <alignment horizontal="left" vertical="justify" wrapText="1"/>
    </xf>
    <xf numFmtId="49" fontId="3" fillId="0" borderId="0" xfId="0" applyNumberFormat="1" applyFont="1" applyBorder="1" applyAlignment="1">
      <alignment horizontal="left" vertical="justify" wrapText="1"/>
    </xf>
    <xf numFmtId="4" fontId="2" fillId="0" borderId="0" xfId="0" applyNumberFormat="1" applyFont="1" applyAlignment="1">
      <alignment horizontal="right" vertical="center"/>
    </xf>
    <xf numFmtId="4" fontId="2" fillId="0" borderId="0" xfId="0" applyNumberFormat="1" applyFont="1" applyAlignment="1">
      <alignment horizontal="center" vertical="center" wrapText="1"/>
    </xf>
    <xf numFmtId="4" fontId="4" fillId="0" borderId="0" xfId="0" applyNumberFormat="1" applyFont="1" applyAlignment="1">
      <alignment horizontal="center" vertical="center" wrapText="1"/>
    </xf>
    <xf numFmtId="3" fontId="3" fillId="0" borderId="1" xfId="0" applyNumberFormat="1" applyFont="1" applyBorder="1" applyAlignment="1">
      <alignment horizontal="right"/>
    </xf>
    <xf numFmtId="3" fontId="2" fillId="0" borderId="2" xfId="0" applyNumberFormat="1" applyFont="1" applyBorder="1" applyAlignment="1">
      <alignment horizontal="center" vertical="center" wrapText="1"/>
    </xf>
    <xf numFmtId="3" fontId="2" fillId="0" borderId="5"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4" fontId="2" fillId="0" borderId="5" xfId="0" applyNumberFormat="1" applyFont="1" applyBorder="1" applyAlignment="1">
      <alignment horizontal="center" vertical="center" wrapText="1"/>
    </xf>
  </cellXfs>
  <cellStyles count="10">
    <cellStyle name="Comma" xfId="1" builtinId="3"/>
    <cellStyle name="Comma 2" xfId="4"/>
    <cellStyle name="Comma 3" xfId="8"/>
    <cellStyle name="Comma_BAO CAO NHANH HANG THANG NAM 2013 " xfId="3"/>
    <cellStyle name="Normal" xfId="0" builtinId="0"/>
    <cellStyle name="Normal 10" xfId="7"/>
    <cellStyle name="Normal 2" xfId="5"/>
    <cellStyle name="Normal 3" xfId="9"/>
    <cellStyle name="Normal_Bieu mau (CV )" xfId="6"/>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GA_NS/Bao%20cao%20danh%20gia%20chi/Nam%202019_H&#272;ND/PL%20danh%20gia%20chi%206%20thang%2020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GA_NS/Bao%20cao%20danh%20gia%20chi/Nam%202019_H&#272;ND/21-11_Uoc%20TH%2022018_chinh%20thuc%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NGA_NS/Cong%20khai%20thuc%20hien%20DT/Nam%202018/Cong%20khai%20quy%20I-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 30.11.2017"/>
      <sheetName val="Can doi (thuc hien)"/>
      <sheetName val="thuc hien 31.6.2018"/>
      <sheetName val="U31.6.2018 (2)"/>
      <sheetName val="Can doi"/>
    </sheetNames>
    <sheetDataSet>
      <sheetData sheetId="0" refreshError="1"/>
      <sheetData sheetId="1" refreshError="1"/>
      <sheetData sheetId="2"/>
      <sheetData sheetId="3">
        <row r="12">
          <cell r="C12">
            <v>2996000</v>
          </cell>
        </row>
        <row r="16">
          <cell r="C16">
            <v>4277095</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 doi  (2)"/>
      <sheetName val="Bieu 32"/>
      <sheetName val="Uoc 2018_TH  theo mau 14"/>
      <sheetName val="Uoc 2018 chi tiet (2)"/>
      <sheetName val="Can doi  mau 12"/>
      <sheetName val="Uoc 2018_TH"/>
      <sheetName val="Uoc 2018 chi tiet"/>
      <sheetName val="Sheet2"/>
    </sheetNames>
    <sheetDataSet>
      <sheetData sheetId="0"/>
      <sheetData sheetId="1"/>
      <sheetData sheetId="2">
        <row r="10">
          <cell r="E10">
            <v>2501387</v>
          </cell>
          <cell r="F10">
            <v>4419899</v>
          </cell>
        </row>
        <row r="24">
          <cell r="E24">
            <v>11543671</v>
          </cell>
          <cell r="F24">
            <v>11738727.064860001</v>
          </cell>
        </row>
        <row r="39">
          <cell r="E39">
            <v>11901</v>
          </cell>
          <cell r="F39">
            <v>11901</v>
          </cell>
        </row>
        <row r="40">
          <cell r="E40">
            <v>1450</v>
          </cell>
          <cell r="F40">
            <v>1450</v>
          </cell>
        </row>
        <row r="41">
          <cell r="E41">
            <v>512325</v>
          </cell>
          <cell r="F41">
            <v>312325</v>
          </cell>
        </row>
        <row r="42">
          <cell r="E42">
            <v>3032462</v>
          </cell>
          <cell r="F42">
            <v>2433391</v>
          </cell>
        </row>
        <row r="43">
          <cell r="E43">
            <v>2872095</v>
          </cell>
        </row>
        <row r="44">
          <cell r="E44">
            <v>160367</v>
          </cell>
          <cell r="F44">
            <v>2433391</v>
          </cell>
        </row>
        <row r="46">
          <cell r="E46">
            <v>472921</v>
          </cell>
          <cell r="F46">
            <v>499787</v>
          </cell>
        </row>
        <row r="59">
          <cell r="E59">
            <v>1991753</v>
          </cell>
          <cell r="F59">
            <v>3389770.7250000001</v>
          </cell>
        </row>
        <row r="102">
          <cell r="F102">
            <v>3126000</v>
          </cell>
        </row>
      </sheetData>
      <sheetData sheetId="3">
        <row r="10">
          <cell r="G10">
            <v>4339899</v>
          </cell>
        </row>
        <row r="11">
          <cell r="G11">
            <v>869860</v>
          </cell>
        </row>
        <row r="12">
          <cell r="G12">
            <v>880595</v>
          </cell>
        </row>
        <row r="13">
          <cell r="G13">
            <v>121000</v>
          </cell>
        </row>
        <row r="14">
          <cell r="G14">
            <v>81327</v>
          </cell>
        </row>
        <row r="22">
          <cell r="G22">
            <v>4364915.67086</v>
          </cell>
        </row>
        <row r="23">
          <cell r="G23">
            <v>1158113.2</v>
          </cell>
        </row>
        <row r="24">
          <cell r="G24">
            <v>77939.899999999994</v>
          </cell>
        </row>
        <row r="25">
          <cell r="G25">
            <v>197617.7</v>
          </cell>
        </row>
        <row r="26">
          <cell r="G26">
            <v>48926.400000000001</v>
          </cell>
        </row>
        <row r="27">
          <cell r="G27">
            <v>73609</v>
          </cell>
        </row>
        <row r="28">
          <cell r="G28">
            <v>1010277.6</v>
          </cell>
        </row>
        <row r="29">
          <cell r="G29">
            <v>2053741.1</v>
          </cell>
        </row>
        <row r="30">
          <cell r="G30">
            <v>137471.49400000001</v>
          </cell>
        </row>
        <row r="31">
          <cell r="G31">
            <v>2258649.2000000002</v>
          </cell>
        </row>
        <row r="32">
          <cell r="G32">
            <v>80913.3</v>
          </cell>
        </row>
        <row r="33">
          <cell r="G33">
            <v>11901</v>
          </cell>
        </row>
        <row r="34">
          <cell r="G34">
            <v>1450</v>
          </cell>
        </row>
        <row r="35">
          <cell r="G35">
            <v>312325</v>
          </cell>
        </row>
        <row r="36">
          <cell r="G36">
            <v>2433391</v>
          </cell>
        </row>
        <row r="40">
          <cell r="G40">
            <v>177100</v>
          </cell>
        </row>
        <row r="41">
          <cell r="G41">
            <v>69800</v>
          </cell>
        </row>
        <row r="44">
          <cell r="G44">
            <v>120194</v>
          </cell>
        </row>
        <row r="45">
          <cell r="G45">
            <v>9265</v>
          </cell>
        </row>
        <row r="47">
          <cell r="G47">
            <v>99191</v>
          </cell>
        </row>
        <row r="48">
          <cell r="G48">
            <v>24237</v>
          </cell>
        </row>
        <row r="52">
          <cell r="G52">
            <v>450378</v>
          </cell>
        </row>
        <row r="53">
          <cell r="G53">
            <v>38100</v>
          </cell>
        </row>
        <row r="54">
          <cell r="G54">
            <v>209468</v>
          </cell>
        </row>
        <row r="55">
          <cell r="G55">
            <v>8900</v>
          </cell>
        </row>
        <row r="56">
          <cell r="G56">
            <v>36000</v>
          </cell>
        </row>
        <row r="57">
          <cell r="G57">
            <v>9400</v>
          </cell>
        </row>
        <row r="58">
          <cell r="G58">
            <v>95400</v>
          </cell>
        </row>
        <row r="59">
          <cell r="G59">
            <v>12500</v>
          </cell>
        </row>
        <row r="60">
          <cell r="G60">
            <v>42000</v>
          </cell>
        </row>
        <row r="61">
          <cell r="G61">
            <v>4400</v>
          </cell>
        </row>
        <row r="62">
          <cell r="G62">
            <v>11800</v>
          </cell>
        </row>
        <row r="63">
          <cell r="G63">
            <v>30000</v>
          </cell>
        </row>
        <row r="64">
          <cell r="G64">
            <v>172500</v>
          </cell>
        </row>
        <row r="65">
          <cell r="G65">
            <v>50000</v>
          </cell>
        </row>
        <row r="67">
          <cell r="G67">
            <v>489799</v>
          </cell>
        </row>
        <row r="68">
          <cell r="G68">
            <v>1350580</v>
          </cell>
        </row>
        <row r="70">
          <cell r="G70">
            <v>79490</v>
          </cell>
        </row>
        <row r="71">
          <cell r="G71">
            <v>600</v>
          </cell>
        </row>
        <row r="72">
          <cell r="G72">
            <v>485</v>
          </cell>
        </row>
        <row r="73">
          <cell r="G73">
            <v>100</v>
          </cell>
        </row>
        <row r="74">
          <cell r="G74">
            <v>980</v>
          </cell>
        </row>
        <row r="75">
          <cell r="G75">
            <v>20000</v>
          </cell>
        </row>
        <row r="76">
          <cell r="G76">
            <v>14933</v>
          </cell>
        </row>
        <row r="77">
          <cell r="G77">
            <v>5782</v>
          </cell>
        </row>
        <row r="78">
          <cell r="G78">
            <v>4535</v>
          </cell>
        </row>
        <row r="79">
          <cell r="G79">
            <v>10089.725</v>
          </cell>
        </row>
        <row r="80">
          <cell r="G80">
            <v>6440</v>
          </cell>
        </row>
        <row r="81">
          <cell r="G81">
            <v>25000</v>
          </cell>
        </row>
        <row r="82">
          <cell r="G82">
            <v>4355</v>
          </cell>
        </row>
        <row r="83">
          <cell r="G83">
            <v>2000</v>
          </cell>
        </row>
        <row r="84">
          <cell r="G84">
            <v>1941</v>
          </cell>
        </row>
        <row r="85">
          <cell r="G85">
            <v>2828</v>
          </cell>
        </row>
        <row r="86">
          <cell r="G86">
            <v>13000</v>
          </cell>
        </row>
        <row r="87">
          <cell r="G87">
            <v>12408</v>
          </cell>
        </row>
        <row r="88">
          <cell r="G88">
            <v>34900</v>
          </cell>
        </row>
        <row r="89">
          <cell r="G89">
            <v>5131</v>
          </cell>
        </row>
        <row r="90">
          <cell r="G90">
            <v>1200</v>
          </cell>
        </row>
        <row r="91">
          <cell r="G91">
            <v>700</v>
          </cell>
        </row>
        <row r="92">
          <cell r="G92">
            <v>112818</v>
          </cell>
        </row>
        <row r="93">
          <cell r="G93">
            <v>8830</v>
          </cell>
        </row>
        <row r="94">
          <cell r="G94">
            <v>3126000</v>
          </cell>
        </row>
      </sheetData>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9"/>
      <sheetName val="60"/>
      <sheetName val="61"/>
      <sheetName val="Sheet1"/>
    </sheetNames>
    <sheetDataSet>
      <sheetData sheetId="0" refreshError="1"/>
      <sheetData sheetId="1" refreshError="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workbookViewId="0">
      <pane xSplit="3" ySplit="9" topLeftCell="D40" activePane="bottomRight" state="frozen"/>
      <selection pane="topRight" activeCell="D1" sqref="D1"/>
      <selection pane="bottomLeft" activeCell="A9" sqref="A9"/>
      <selection pane="bottomRight" activeCell="E15" sqref="E15"/>
    </sheetView>
  </sheetViews>
  <sheetFormatPr defaultRowHeight="15.75" x14ac:dyDescent="0.25"/>
  <cols>
    <col min="1" max="1" width="4.42578125" style="151" customWidth="1"/>
    <col min="2" max="2" width="33.85546875" style="151" customWidth="1"/>
    <col min="3" max="3" width="15.7109375" style="151" hidden="1" customWidth="1"/>
    <col min="4" max="4" width="13" style="151" customWidth="1"/>
    <col min="5" max="5" width="15.140625" style="151" customWidth="1"/>
    <col min="6" max="6" width="13" style="151" customWidth="1"/>
    <col min="7" max="7" width="13.5703125" style="151" customWidth="1"/>
    <col min="8" max="8" width="15.140625" style="152" customWidth="1"/>
    <col min="9" max="9" width="13.140625" style="151" customWidth="1"/>
    <col min="10" max="10" width="15" style="151" customWidth="1"/>
    <col min="11" max="16384" width="9.140625" style="151"/>
  </cols>
  <sheetData>
    <row r="1" spans="1:10" ht="17.25" customHeight="1" x14ac:dyDescent="0.25">
      <c r="A1" s="150" t="s">
        <v>166</v>
      </c>
      <c r="F1" s="252" t="s">
        <v>167</v>
      </c>
      <c r="G1" s="252"/>
    </row>
    <row r="3" spans="1:10" x14ac:dyDescent="0.25">
      <c r="A3" s="253" t="s">
        <v>168</v>
      </c>
      <c r="B3" s="253"/>
      <c r="C3" s="253"/>
      <c r="D3" s="253"/>
      <c r="E3" s="253"/>
      <c r="F3" s="253"/>
      <c r="G3" s="253"/>
    </row>
    <row r="4" spans="1:10" x14ac:dyDescent="0.25">
      <c r="A4" s="251" t="s">
        <v>147</v>
      </c>
      <c r="B4" s="251"/>
      <c r="C4" s="251"/>
      <c r="D4" s="251"/>
      <c r="E4" s="251"/>
      <c r="F4" s="251"/>
      <c r="G4" s="251"/>
    </row>
    <row r="5" spans="1:10" x14ac:dyDescent="0.25">
      <c r="G5" s="153" t="s">
        <v>169</v>
      </c>
    </row>
    <row r="6" spans="1:10" ht="44.25" customHeight="1" x14ac:dyDescent="0.25">
      <c r="A6" s="254" t="s">
        <v>124</v>
      </c>
      <c r="B6" s="254" t="s">
        <v>125</v>
      </c>
      <c r="C6" s="255" t="s">
        <v>170</v>
      </c>
      <c r="D6" s="257" t="s">
        <v>3</v>
      </c>
      <c r="E6" s="257" t="s">
        <v>4</v>
      </c>
      <c r="F6" s="258" t="s">
        <v>153</v>
      </c>
      <c r="G6" s="258"/>
    </row>
    <row r="7" spans="1:10" ht="53.25" customHeight="1" x14ac:dyDescent="0.25">
      <c r="A7" s="254"/>
      <c r="B7" s="254"/>
      <c r="C7" s="256"/>
      <c r="D7" s="257"/>
      <c r="E7" s="257"/>
      <c r="F7" s="7" t="s">
        <v>150</v>
      </c>
      <c r="G7" s="7" t="s">
        <v>152</v>
      </c>
    </row>
    <row r="8" spans="1:10" x14ac:dyDescent="0.25">
      <c r="A8" s="154" t="s">
        <v>6</v>
      </c>
      <c r="B8" s="154" t="s">
        <v>7</v>
      </c>
      <c r="C8" s="154"/>
      <c r="D8" s="154">
        <v>1</v>
      </c>
      <c r="E8" s="154">
        <v>2</v>
      </c>
      <c r="F8" s="154" t="s">
        <v>151</v>
      </c>
      <c r="G8" s="154">
        <v>4</v>
      </c>
    </row>
    <row r="9" spans="1:10" ht="31.5" hidden="1" x14ac:dyDescent="0.25">
      <c r="A9" s="155"/>
      <c r="B9" s="156" t="s">
        <v>171</v>
      </c>
      <c r="C9" s="157">
        <f>+C10+C39</f>
        <v>32494447</v>
      </c>
      <c r="D9" s="157">
        <f>+D10+D39</f>
        <v>33357572</v>
      </c>
      <c r="E9" s="157">
        <f>+E10+E39</f>
        <v>37105899</v>
      </c>
      <c r="F9" s="158">
        <f t="shared" ref="F9:F41" si="0">E9/D9</f>
        <v>1.1123681004121044</v>
      </c>
      <c r="G9" s="158">
        <f>+E9/C9</f>
        <v>1.1419150785978909</v>
      </c>
      <c r="H9" s="152" t="e">
        <f>+E9-#REF!</f>
        <v>#REF!</v>
      </c>
    </row>
    <row r="10" spans="1:10" s="150" customFormat="1" ht="31.5" x14ac:dyDescent="0.25">
      <c r="A10" s="159" t="s">
        <v>6</v>
      </c>
      <c r="B10" s="160" t="s">
        <v>171</v>
      </c>
      <c r="C10" s="161">
        <f>C11+C30+C31+C38</f>
        <v>19696286</v>
      </c>
      <c r="D10" s="161">
        <f t="shared" ref="D10" si="1">D11+D30+D31+D38</f>
        <v>19676000</v>
      </c>
      <c r="E10" s="161">
        <f>E11+E30+E31+E38</f>
        <v>21745450</v>
      </c>
      <c r="F10" s="162">
        <f t="shared" si="0"/>
        <v>1.1051763569831266</v>
      </c>
      <c r="G10" s="162">
        <f>E10/C10</f>
        <v>1.1040380912421763</v>
      </c>
      <c r="H10" s="163">
        <f>13917000-E10</f>
        <v>-7828450</v>
      </c>
    </row>
    <row r="11" spans="1:10" s="150" customFormat="1" x14ac:dyDescent="0.25">
      <c r="A11" s="159" t="s">
        <v>14</v>
      </c>
      <c r="B11" s="160" t="s">
        <v>162</v>
      </c>
      <c r="C11" s="161">
        <f>C12+C13+C14+C15+C16+C17+C18+C19+C25+C26+C27+C28+C29</f>
        <v>14394739</v>
      </c>
      <c r="D11" s="161">
        <f t="shared" ref="D11" si="2">D12+D13+D14+D15+D16+D17+D18+D19+D25+D26+D27+D28+D29</f>
        <v>15476000</v>
      </c>
      <c r="E11" s="161">
        <f>E12+E13+E14+E15+E16+E17+E18+E19+E25+E26+E27+E28+E29</f>
        <v>17274450</v>
      </c>
      <c r="F11" s="162">
        <f t="shared" si="0"/>
        <v>1.116208968725769</v>
      </c>
      <c r="G11" s="162">
        <f t="shared" ref="G11:G41" si="3">E11/C11</f>
        <v>1.2000530193704797</v>
      </c>
      <c r="H11" s="163">
        <f>C11-C22-C27</f>
        <v>13233699</v>
      </c>
      <c r="I11" s="163">
        <f>D11-D22-D27</f>
        <v>14579000</v>
      </c>
      <c r="J11" s="163">
        <f>E11-E22-E27</f>
        <v>16282700</v>
      </c>
    </row>
    <row r="12" spans="1:10" x14ac:dyDescent="0.25">
      <c r="A12" s="164">
        <v>1</v>
      </c>
      <c r="B12" s="165" t="s">
        <v>172</v>
      </c>
      <c r="C12" s="166">
        <v>1221123</v>
      </c>
      <c r="D12" s="167">
        <f>901900+130000</f>
        <v>1031900</v>
      </c>
      <c r="E12" s="167">
        <f>901900+130000</f>
        <v>1031900</v>
      </c>
      <c r="F12" s="168">
        <f t="shared" si="0"/>
        <v>1</v>
      </c>
      <c r="G12" s="168">
        <f t="shared" si="3"/>
        <v>0.84504181806419176</v>
      </c>
      <c r="J12" s="151">
        <f>J11/I11*100</f>
        <v>111.68598669318884</v>
      </c>
    </row>
    <row r="13" spans="1:10" ht="31.5" x14ac:dyDescent="0.25">
      <c r="A13" s="164">
        <v>2</v>
      </c>
      <c r="B13" s="165" t="s">
        <v>173</v>
      </c>
      <c r="C13" s="166">
        <v>917547</v>
      </c>
      <c r="D13" s="167">
        <v>1313000</v>
      </c>
      <c r="E13" s="167">
        <v>1591000</v>
      </c>
      <c r="F13" s="168">
        <f t="shared" si="0"/>
        <v>1.2117288651942117</v>
      </c>
      <c r="G13" s="168">
        <f t="shared" si="3"/>
        <v>1.7339711208254183</v>
      </c>
      <c r="J13" s="151">
        <f>J11/H11*100</f>
        <v>123.0396731858568</v>
      </c>
    </row>
    <row r="14" spans="1:10" ht="31.5" x14ac:dyDescent="0.25">
      <c r="A14" s="164">
        <v>3</v>
      </c>
      <c r="B14" s="165" t="s">
        <v>174</v>
      </c>
      <c r="C14" s="166">
        <v>9204234</v>
      </c>
      <c r="D14" s="167">
        <v>10766100</v>
      </c>
      <c r="E14" s="167">
        <v>11300260</v>
      </c>
      <c r="F14" s="168">
        <f t="shared" si="0"/>
        <v>1.0496149952164664</v>
      </c>
      <c r="G14" s="168">
        <f t="shared" si="3"/>
        <v>1.227724110447431</v>
      </c>
    </row>
    <row r="15" spans="1:10" x14ac:dyDescent="0.25">
      <c r="A15" s="164">
        <v>4</v>
      </c>
      <c r="B15" s="165" t="s">
        <v>175</v>
      </c>
      <c r="C15" s="166">
        <v>367708</v>
      </c>
      <c r="D15" s="167">
        <v>380000</v>
      </c>
      <c r="E15" s="167">
        <v>452210</v>
      </c>
      <c r="F15" s="168">
        <f t="shared" si="0"/>
        <v>1.1900263157894737</v>
      </c>
      <c r="G15" s="168">
        <f t="shared" si="3"/>
        <v>1.2298073471341391</v>
      </c>
    </row>
    <row r="16" spans="1:10" x14ac:dyDescent="0.25">
      <c r="A16" s="164">
        <v>5</v>
      </c>
      <c r="B16" s="165" t="s">
        <v>176</v>
      </c>
      <c r="C16" s="166">
        <v>396009</v>
      </c>
      <c r="D16" s="167">
        <v>430000</v>
      </c>
      <c r="E16" s="167">
        <v>400000</v>
      </c>
      <c r="F16" s="168">
        <f t="shared" si="0"/>
        <v>0.93023255813953487</v>
      </c>
      <c r="G16" s="168">
        <f t="shared" si="3"/>
        <v>1.0100780537816059</v>
      </c>
    </row>
    <row r="17" spans="1:8" x14ac:dyDescent="0.25">
      <c r="A17" s="164">
        <v>6</v>
      </c>
      <c r="B17" s="165" t="s">
        <v>177</v>
      </c>
      <c r="C17" s="166">
        <v>242535</v>
      </c>
      <c r="D17" s="167">
        <v>250000</v>
      </c>
      <c r="E17" s="167">
        <v>302250</v>
      </c>
      <c r="F17" s="168">
        <f t="shared" si="0"/>
        <v>1.2090000000000001</v>
      </c>
      <c r="G17" s="168">
        <f t="shared" si="3"/>
        <v>1.2462118869441523</v>
      </c>
    </row>
    <row r="18" spans="1:8" x14ac:dyDescent="0.25">
      <c r="A18" s="164">
        <v>7</v>
      </c>
      <c r="B18" s="165" t="s">
        <v>178</v>
      </c>
      <c r="C18" s="166">
        <v>282848</v>
      </c>
      <c r="D18" s="167">
        <v>100000</v>
      </c>
      <c r="E18" s="167">
        <v>326700</v>
      </c>
      <c r="F18" s="168">
        <f t="shared" si="0"/>
        <v>3.2669999999999999</v>
      </c>
      <c r="G18" s="168">
        <f t="shared" si="3"/>
        <v>1.1550373345401064</v>
      </c>
    </row>
    <row r="19" spans="1:8" x14ac:dyDescent="0.25">
      <c r="A19" s="164">
        <v>8</v>
      </c>
      <c r="B19" s="165" t="s">
        <v>179</v>
      </c>
      <c r="C19" s="167">
        <f>SUM(C20:C24)</f>
        <v>1367596</v>
      </c>
      <c r="D19" s="167">
        <f>SUM(D21:D24)</f>
        <v>864000</v>
      </c>
      <c r="E19" s="167">
        <f>SUM(E20:E24)</f>
        <v>1301030</v>
      </c>
      <c r="F19" s="168">
        <f t="shared" si="0"/>
        <v>1.5058217592592593</v>
      </c>
      <c r="G19" s="168">
        <f t="shared" si="3"/>
        <v>0.9513262688688765</v>
      </c>
      <c r="H19" s="152">
        <v>463000</v>
      </c>
    </row>
    <row r="20" spans="1:8" x14ac:dyDescent="0.25">
      <c r="A20" s="169" t="s">
        <v>180</v>
      </c>
      <c r="B20" s="170" t="s">
        <v>181</v>
      </c>
      <c r="C20" s="171">
        <v>34</v>
      </c>
      <c r="D20" s="171"/>
      <c r="E20" s="171"/>
      <c r="F20" s="172"/>
      <c r="G20" s="172"/>
    </row>
    <row r="21" spans="1:8" x14ac:dyDescent="0.25">
      <c r="A21" s="164" t="s">
        <v>180</v>
      </c>
      <c r="B21" s="170" t="s">
        <v>182</v>
      </c>
      <c r="C21" s="173">
        <v>6708</v>
      </c>
      <c r="D21" s="171">
        <v>4000</v>
      </c>
      <c r="E21" s="171">
        <v>9900</v>
      </c>
      <c r="F21" s="172">
        <f t="shared" si="0"/>
        <v>2.4750000000000001</v>
      </c>
      <c r="G21" s="172">
        <f t="shared" si="3"/>
        <v>1.4758497316636852</v>
      </c>
      <c r="H21" s="152">
        <v>115000</v>
      </c>
    </row>
    <row r="22" spans="1:8" ht="22.5" customHeight="1" x14ac:dyDescent="0.25">
      <c r="A22" s="164" t="s">
        <v>180</v>
      </c>
      <c r="B22" s="170" t="s">
        <v>183</v>
      </c>
      <c r="C22" s="173">
        <v>1085713</v>
      </c>
      <c r="D22" s="171">
        <v>821000</v>
      </c>
      <c r="E22" s="171">
        <v>911750</v>
      </c>
      <c r="F22" s="172">
        <f t="shared" si="0"/>
        <v>1.1105359317904995</v>
      </c>
      <c r="G22" s="172">
        <f t="shared" si="3"/>
        <v>0.83977073130744495</v>
      </c>
      <c r="H22" s="152">
        <v>49000</v>
      </c>
    </row>
    <row r="23" spans="1:8" x14ac:dyDescent="0.25">
      <c r="A23" s="164" t="s">
        <v>180</v>
      </c>
      <c r="B23" s="170" t="s">
        <v>184</v>
      </c>
      <c r="C23" s="173">
        <v>265924</v>
      </c>
      <c r="D23" s="171">
        <v>39000</v>
      </c>
      <c r="E23" s="171">
        <v>374110</v>
      </c>
      <c r="F23" s="172">
        <f t="shared" si="0"/>
        <v>9.5925641025641024</v>
      </c>
      <c r="G23" s="172">
        <f t="shared" si="3"/>
        <v>1.4068305230065734</v>
      </c>
      <c r="H23" s="152">
        <v>158000</v>
      </c>
    </row>
    <row r="24" spans="1:8" ht="31.5" x14ac:dyDescent="0.25">
      <c r="A24" s="164" t="s">
        <v>180</v>
      </c>
      <c r="B24" s="170" t="s">
        <v>185</v>
      </c>
      <c r="C24" s="173">
        <v>9217</v>
      </c>
      <c r="D24" s="171"/>
      <c r="E24" s="171">
        <v>5270</v>
      </c>
      <c r="F24" s="172"/>
      <c r="G24" s="172">
        <f t="shared" si="3"/>
        <v>0.57176955625474668</v>
      </c>
      <c r="H24" s="152">
        <v>92000</v>
      </c>
    </row>
    <row r="25" spans="1:8" ht="34.5" customHeight="1" x14ac:dyDescent="0.25">
      <c r="A25" s="164">
        <v>9</v>
      </c>
      <c r="B25" s="165" t="s">
        <v>186</v>
      </c>
      <c r="C25" s="166">
        <v>65391</v>
      </c>
      <c r="D25" s="167">
        <v>55000</v>
      </c>
      <c r="E25" s="167">
        <v>74000</v>
      </c>
      <c r="F25" s="168">
        <f t="shared" si="0"/>
        <v>1.3454545454545455</v>
      </c>
      <c r="G25" s="168">
        <f t="shared" si="3"/>
        <v>1.1316542031778074</v>
      </c>
      <c r="H25" s="152">
        <v>135000</v>
      </c>
    </row>
    <row r="26" spans="1:8" ht="77.25" customHeight="1" x14ac:dyDescent="0.25">
      <c r="A26" s="164">
        <v>10</v>
      </c>
      <c r="B26" s="165" t="s">
        <v>187</v>
      </c>
      <c r="C26" s="166"/>
      <c r="D26" s="167"/>
      <c r="E26" s="167"/>
      <c r="F26" s="168"/>
      <c r="G26" s="168"/>
    </row>
    <row r="27" spans="1:8" ht="18.75" customHeight="1" x14ac:dyDescent="0.25">
      <c r="A27" s="164">
        <v>11</v>
      </c>
      <c r="B27" s="165" t="s">
        <v>188</v>
      </c>
      <c r="C27" s="166">
        <v>75327</v>
      </c>
      <c r="D27" s="167">
        <v>76000</v>
      </c>
      <c r="E27" s="167">
        <v>80000</v>
      </c>
      <c r="F27" s="168">
        <f t="shared" si="0"/>
        <v>1.0526315789473684</v>
      </c>
      <c r="G27" s="168">
        <f t="shared" si="3"/>
        <v>1.0620361888831362</v>
      </c>
      <c r="H27" s="152">
        <v>1547000</v>
      </c>
    </row>
    <row r="28" spans="1:8" s="180" customFormat="1" ht="47.25" x14ac:dyDescent="0.25">
      <c r="A28" s="174">
        <v>12</v>
      </c>
      <c r="B28" s="175" t="s">
        <v>189</v>
      </c>
      <c r="C28" s="176">
        <v>60898</v>
      </c>
      <c r="D28" s="177">
        <v>40000</v>
      </c>
      <c r="E28" s="177">
        <v>15100</v>
      </c>
      <c r="F28" s="178">
        <f t="shared" si="0"/>
        <v>0.3775</v>
      </c>
      <c r="G28" s="178">
        <f t="shared" si="3"/>
        <v>0.247955597884988</v>
      </c>
      <c r="H28" s="179">
        <v>3825000</v>
      </c>
    </row>
    <row r="29" spans="1:8" x14ac:dyDescent="0.25">
      <c r="A29" s="164">
        <v>13</v>
      </c>
      <c r="B29" s="165" t="s">
        <v>190</v>
      </c>
      <c r="C29" s="166">
        <v>193523</v>
      </c>
      <c r="D29" s="167">
        <v>170000</v>
      </c>
      <c r="E29" s="167">
        <v>400000</v>
      </c>
      <c r="F29" s="168">
        <f t="shared" si="0"/>
        <v>2.3529411764705883</v>
      </c>
      <c r="G29" s="168">
        <f t="shared" si="3"/>
        <v>2.0669377800054773</v>
      </c>
      <c r="H29" s="152">
        <v>341000</v>
      </c>
    </row>
    <row r="30" spans="1:8" x14ac:dyDescent="0.25">
      <c r="A30" s="159" t="s">
        <v>29</v>
      </c>
      <c r="B30" s="160" t="s">
        <v>163</v>
      </c>
      <c r="C30" s="166"/>
      <c r="D30" s="167"/>
      <c r="E30" s="167"/>
      <c r="F30" s="168"/>
      <c r="G30" s="168"/>
    </row>
    <row r="31" spans="1:8" s="150" customFormat="1" x14ac:dyDescent="0.25">
      <c r="A31" s="159" t="s">
        <v>43</v>
      </c>
      <c r="B31" s="160" t="s">
        <v>191</v>
      </c>
      <c r="C31" s="161">
        <f>C32+C33+C36+C37</f>
        <v>5279046</v>
      </c>
      <c r="D31" s="161">
        <f>D32+D33+D36</f>
        <v>4200000</v>
      </c>
      <c r="E31" s="161">
        <f>E32+E33+E34+E35+E36+E37</f>
        <v>4471000</v>
      </c>
      <c r="F31" s="162">
        <f t="shared" si="0"/>
        <v>1.0645238095238094</v>
      </c>
      <c r="G31" s="162">
        <f t="shared" si="3"/>
        <v>0.84693332848397229</v>
      </c>
      <c r="H31" s="163">
        <v>106000</v>
      </c>
    </row>
    <row r="32" spans="1:8" ht="31.5" x14ac:dyDescent="0.25">
      <c r="A32" s="164">
        <v>1</v>
      </c>
      <c r="B32" s="165" t="s">
        <v>192</v>
      </c>
      <c r="C32" s="166">
        <v>2796844</v>
      </c>
      <c r="D32" s="167">
        <v>2200000</v>
      </c>
      <c r="E32" s="167">
        <v>2470000</v>
      </c>
      <c r="F32" s="168">
        <f t="shared" si="0"/>
        <v>1.1227272727272728</v>
      </c>
      <c r="G32" s="168">
        <f t="shared" si="3"/>
        <v>0.88313828014719453</v>
      </c>
      <c r="H32" s="181">
        <f>SUM(H19:H31)</f>
        <v>6831000</v>
      </c>
    </row>
    <row r="33" spans="1:8" x14ac:dyDescent="0.25">
      <c r="A33" s="164">
        <v>2</v>
      </c>
      <c r="B33" s="165" t="s">
        <v>193</v>
      </c>
      <c r="C33" s="246">
        <f>4479+2476122</f>
        <v>2480601</v>
      </c>
      <c r="D33" s="246">
        <v>2000000</v>
      </c>
      <c r="E33" s="247">
        <v>2001000</v>
      </c>
      <c r="F33" s="250">
        <f t="shared" si="0"/>
        <v>1.0004999999999999</v>
      </c>
      <c r="G33" s="250">
        <f t="shared" si="3"/>
        <v>0.80665935392269861</v>
      </c>
      <c r="H33" s="163">
        <f>9092000-H32</f>
        <v>2261000</v>
      </c>
    </row>
    <row r="34" spans="1:8" x14ac:dyDescent="0.25">
      <c r="A34" s="164">
        <v>3</v>
      </c>
      <c r="B34" s="165" t="s">
        <v>194</v>
      </c>
      <c r="C34" s="246"/>
      <c r="D34" s="246"/>
      <c r="E34" s="248"/>
      <c r="F34" s="250"/>
      <c r="G34" s="250"/>
    </row>
    <row r="35" spans="1:8" ht="31.5" x14ac:dyDescent="0.25">
      <c r="A35" s="164">
        <v>4</v>
      </c>
      <c r="B35" s="165" t="s">
        <v>195</v>
      </c>
      <c r="C35" s="246"/>
      <c r="D35" s="246"/>
      <c r="E35" s="249"/>
      <c r="F35" s="250"/>
      <c r="G35" s="250"/>
    </row>
    <row r="36" spans="1:8" ht="31.5" x14ac:dyDescent="0.25">
      <c r="A36" s="164">
        <v>5</v>
      </c>
      <c r="B36" s="165" t="s">
        <v>196</v>
      </c>
      <c r="C36" s="166">
        <v>159</v>
      </c>
      <c r="D36" s="167"/>
      <c r="E36" s="167"/>
      <c r="F36" s="168"/>
      <c r="G36" s="168">
        <f t="shared" si="3"/>
        <v>0</v>
      </c>
    </row>
    <row r="37" spans="1:8" x14ac:dyDescent="0.25">
      <c r="A37" s="164">
        <v>6</v>
      </c>
      <c r="B37" s="165" t="s">
        <v>197</v>
      </c>
      <c r="C37" s="166">
        <f>299+1143</f>
        <v>1442</v>
      </c>
      <c r="D37" s="167"/>
      <c r="E37" s="167"/>
      <c r="F37" s="168"/>
      <c r="G37" s="168">
        <f t="shared" si="3"/>
        <v>0</v>
      </c>
    </row>
    <row r="38" spans="1:8" s="150" customFormat="1" x14ac:dyDescent="0.25">
      <c r="A38" s="159" t="s">
        <v>43</v>
      </c>
      <c r="B38" s="160" t="s">
        <v>164</v>
      </c>
      <c r="C38" s="182">
        <v>22501</v>
      </c>
      <c r="D38" s="161"/>
      <c r="E38" s="161"/>
      <c r="F38" s="162"/>
      <c r="G38" s="162"/>
      <c r="H38" s="163"/>
    </row>
    <row r="39" spans="1:8" s="150" customFormat="1" ht="31.5" x14ac:dyDescent="0.25">
      <c r="A39" s="159" t="s">
        <v>7</v>
      </c>
      <c r="B39" s="160" t="s">
        <v>198</v>
      </c>
      <c r="C39" s="161">
        <f>C40+C41</f>
        <v>12798161</v>
      </c>
      <c r="D39" s="161">
        <f>D40+D41</f>
        <v>13681572</v>
      </c>
      <c r="E39" s="161">
        <f>E40+E41</f>
        <v>15360449</v>
      </c>
      <c r="F39" s="162">
        <f t="shared" si="0"/>
        <v>1.1227108259197116</v>
      </c>
      <c r="G39" s="162">
        <f t="shared" si="3"/>
        <v>1.2002075141889526</v>
      </c>
      <c r="H39" s="163"/>
    </row>
    <row r="40" spans="1:8" x14ac:dyDescent="0.25">
      <c r="A40" s="164">
        <v>1</v>
      </c>
      <c r="B40" s="165" t="s">
        <v>199</v>
      </c>
      <c r="C40" s="166">
        <v>9896689</v>
      </c>
      <c r="D40" s="167">
        <v>11792772</v>
      </c>
      <c r="E40" s="167">
        <v>12643209</v>
      </c>
      <c r="F40" s="168">
        <f t="shared" si="0"/>
        <v>1.0721151057613936</v>
      </c>
      <c r="G40" s="168">
        <f t="shared" si="3"/>
        <v>1.2775190773399063</v>
      </c>
    </row>
    <row r="41" spans="1:8" ht="31.5" x14ac:dyDescent="0.25">
      <c r="A41" s="183">
        <v>2</v>
      </c>
      <c r="B41" s="184" t="s">
        <v>200</v>
      </c>
      <c r="C41" s="185">
        <v>2901472</v>
      </c>
      <c r="D41" s="186">
        <v>1888800</v>
      </c>
      <c r="E41" s="186">
        <v>2717240</v>
      </c>
      <c r="F41" s="187">
        <f t="shared" si="0"/>
        <v>1.4386065226598899</v>
      </c>
      <c r="G41" s="187">
        <f t="shared" si="3"/>
        <v>0.93650395385514662</v>
      </c>
    </row>
  </sheetData>
  <mergeCells count="14">
    <mergeCell ref="A4:G4"/>
    <mergeCell ref="F1:G1"/>
    <mergeCell ref="A3:G3"/>
    <mergeCell ref="A6:A7"/>
    <mergeCell ref="B6:B7"/>
    <mergeCell ref="C6:C7"/>
    <mergeCell ref="D6:D7"/>
    <mergeCell ref="E6:E7"/>
    <mergeCell ref="F6:G6"/>
    <mergeCell ref="C33:C35"/>
    <mergeCell ref="D33:D35"/>
    <mergeCell ref="E33:E35"/>
    <mergeCell ref="F33:F35"/>
    <mergeCell ref="G33:G35"/>
  </mergeCells>
  <pageMargins left="0.48" right="0.22" top="0.67" bottom="0.59" header="0.3" footer="0.2"/>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topLeftCell="A16" workbookViewId="0">
      <selection activeCell="D31" sqref="D31"/>
    </sheetView>
  </sheetViews>
  <sheetFormatPr defaultRowHeight="15.75" x14ac:dyDescent="0.25"/>
  <cols>
    <col min="1" max="1" width="5.5703125" style="190" customWidth="1"/>
    <col min="2" max="2" width="45" style="190" customWidth="1"/>
    <col min="3" max="3" width="14.140625" style="190" hidden="1" customWidth="1"/>
    <col min="4" max="4" width="12.5703125" style="190" customWidth="1"/>
    <col min="5" max="5" width="15.42578125" style="190" customWidth="1"/>
    <col min="6" max="6" width="14.140625" style="190" hidden="1" customWidth="1"/>
    <col min="7" max="8" width="10.5703125" style="190" customWidth="1"/>
    <col min="9" max="9" width="13.140625" style="190" customWidth="1"/>
    <col min="10" max="10" width="12.42578125" style="190" bestFit="1" customWidth="1"/>
    <col min="11" max="16384" width="9.140625" style="190"/>
  </cols>
  <sheetData>
    <row r="1" spans="1:10" x14ac:dyDescent="0.25">
      <c r="A1" s="150" t="s">
        <v>166</v>
      </c>
      <c r="E1" s="261" t="s">
        <v>156</v>
      </c>
      <c r="F1" s="261"/>
      <c r="G1" s="261"/>
      <c r="H1" s="191"/>
    </row>
    <row r="2" spans="1:10" ht="10.5" customHeight="1" x14ac:dyDescent="0.25">
      <c r="A2" s="192"/>
      <c r="E2" s="191"/>
      <c r="F2" s="191"/>
      <c r="G2" s="191"/>
      <c r="H2" s="191"/>
    </row>
    <row r="3" spans="1:10" x14ac:dyDescent="0.25">
      <c r="A3" s="260" t="s">
        <v>146</v>
      </c>
      <c r="B3" s="260"/>
      <c r="C3" s="260"/>
      <c r="D3" s="260"/>
      <c r="E3" s="260"/>
      <c r="F3" s="260"/>
      <c r="G3" s="260"/>
      <c r="H3" s="260"/>
    </row>
    <row r="4" spans="1:10" x14ac:dyDescent="0.25">
      <c r="A4" s="251" t="s">
        <v>147</v>
      </c>
      <c r="B4" s="251"/>
      <c r="C4" s="251"/>
      <c r="D4" s="251"/>
      <c r="E4" s="251"/>
      <c r="F4" s="251"/>
      <c r="G4" s="251"/>
      <c r="H4" s="251"/>
    </row>
    <row r="5" spans="1:10" x14ac:dyDescent="0.25">
      <c r="F5" s="259" t="s">
        <v>123</v>
      </c>
      <c r="G5" s="259"/>
      <c r="H5" s="259"/>
    </row>
    <row r="6" spans="1:10" ht="40.5" customHeight="1" x14ac:dyDescent="0.25">
      <c r="A6" s="257" t="s">
        <v>124</v>
      </c>
      <c r="B6" s="257" t="s">
        <v>125</v>
      </c>
      <c r="C6" s="257" t="s">
        <v>126</v>
      </c>
      <c r="D6" s="257" t="s">
        <v>3</v>
      </c>
      <c r="E6" s="257" t="s">
        <v>4</v>
      </c>
      <c r="F6" s="257" t="s">
        <v>153</v>
      </c>
      <c r="G6" s="257"/>
      <c r="H6" s="257"/>
    </row>
    <row r="7" spans="1:10" ht="31.5" x14ac:dyDescent="0.25">
      <c r="A7" s="257"/>
      <c r="B7" s="257"/>
      <c r="C7" s="257"/>
      <c r="D7" s="257"/>
      <c r="E7" s="257"/>
      <c r="F7" s="7"/>
      <c r="G7" s="7" t="s">
        <v>150</v>
      </c>
      <c r="H7" s="7" t="s">
        <v>152</v>
      </c>
    </row>
    <row r="8" spans="1:10" x14ac:dyDescent="0.25">
      <c r="A8" s="193" t="s">
        <v>6</v>
      </c>
      <c r="B8" s="193" t="s">
        <v>7</v>
      </c>
      <c r="C8" s="193"/>
      <c r="D8" s="193">
        <v>1</v>
      </c>
      <c r="E8" s="193">
        <v>2</v>
      </c>
      <c r="F8" s="7" t="s">
        <v>11</v>
      </c>
      <c r="G8" s="7" t="s">
        <v>151</v>
      </c>
      <c r="H8" s="7">
        <v>4</v>
      </c>
    </row>
    <row r="9" spans="1:10" s="192" customFormat="1" ht="31.5" x14ac:dyDescent="0.25">
      <c r="A9" s="194" t="s">
        <v>6</v>
      </c>
      <c r="B9" s="195" t="s">
        <v>160</v>
      </c>
      <c r="C9" s="196">
        <f>+C10+C15</f>
        <v>16792208</v>
      </c>
      <c r="D9" s="196">
        <f>+D10+D15</f>
        <v>23521325</v>
      </c>
      <c r="E9" s="196">
        <f>+E10+E15</f>
        <v>31102125</v>
      </c>
      <c r="F9" s="196">
        <f t="shared" ref="F9" si="0">+F10+F15</f>
        <v>7580800</v>
      </c>
      <c r="G9" s="140">
        <f t="shared" ref="G9:G35" si="1">+E9/D9</f>
        <v>1.3222947686833117</v>
      </c>
      <c r="H9" s="147">
        <f>+'60'!G10</f>
        <v>1.1040380912421763</v>
      </c>
      <c r="I9" s="197"/>
      <c r="J9" s="197"/>
    </row>
    <row r="10" spans="1:10" s="192" customFormat="1" x14ac:dyDescent="0.25">
      <c r="A10" s="198" t="s">
        <v>14</v>
      </c>
      <c r="B10" s="199" t="s">
        <v>161</v>
      </c>
      <c r="C10" s="200">
        <f>SUM(C11:C12)</f>
        <v>6744825</v>
      </c>
      <c r="D10" s="201">
        <f>+D11+D12+D13</f>
        <v>19676000</v>
      </c>
      <c r="E10" s="201">
        <f>+E11+E12+E13</f>
        <v>21745450</v>
      </c>
      <c r="F10" s="37">
        <f>+E10-D10</f>
        <v>2069450</v>
      </c>
      <c r="G10" s="140">
        <f t="shared" si="1"/>
        <v>1.1051763569831266</v>
      </c>
      <c r="H10" s="140">
        <f>+'60'!G10</f>
        <v>1.1040380912421763</v>
      </c>
      <c r="I10" s="197"/>
      <c r="J10" s="197"/>
    </row>
    <row r="11" spans="1:10" x14ac:dyDescent="0.25">
      <c r="A11" s="202">
        <v>1</v>
      </c>
      <c r="B11" s="203" t="s">
        <v>162</v>
      </c>
      <c r="C11" s="204">
        <v>6744825</v>
      </c>
      <c r="D11" s="205">
        <f>+'60'!D11</f>
        <v>15476000</v>
      </c>
      <c r="E11" s="206">
        <f>+'60'!E11</f>
        <v>17274450</v>
      </c>
      <c r="F11" s="141">
        <f>+E11-D11</f>
        <v>1798450</v>
      </c>
      <c r="G11" s="142">
        <f t="shared" si="1"/>
        <v>1.116208968725769</v>
      </c>
      <c r="H11" s="142">
        <f>+'60'!G11</f>
        <v>1.2000530193704797</v>
      </c>
    </row>
    <row r="12" spans="1:10" x14ac:dyDescent="0.25">
      <c r="A12" s="202">
        <v>2</v>
      </c>
      <c r="B12" s="203" t="s">
        <v>163</v>
      </c>
      <c r="C12" s="204"/>
      <c r="D12" s="205">
        <v>0</v>
      </c>
      <c r="E12" s="206">
        <v>0</v>
      </c>
      <c r="F12" s="141">
        <f>+E12-D12</f>
        <v>0</v>
      </c>
      <c r="G12" s="142"/>
      <c r="H12" s="142"/>
    </row>
    <row r="13" spans="1:10" x14ac:dyDescent="0.25">
      <c r="A13" s="202">
        <v>3</v>
      </c>
      <c r="B13" s="203" t="s">
        <v>201</v>
      </c>
      <c r="C13" s="204"/>
      <c r="D13" s="205">
        <f>+'60'!D31</f>
        <v>4200000</v>
      </c>
      <c r="E13" s="206">
        <f>+'60'!E31</f>
        <v>4471000</v>
      </c>
      <c r="F13" s="141"/>
      <c r="G13" s="142">
        <f t="shared" si="1"/>
        <v>1.0645238095238094</v>
      </c>
      <c r="H13" s="142">
        <f>+'60'!G31</f>
        <v>0.84693332848397229</v>
      </c>
    </row>
    <row r="14" spans="1:10" x14ac:dyDescent="0.25">
      <c r="A14" s="202">
        <v>4</v>
      </c>
      <c r="B14" s="203" t="s">
        <v>164</v>
      </c>
      <c r="C14" s="204"/>
      <c r="D14" s="205">
        <f>+'60'!D38</f>
        <v>0</v>
      </c>
      <c r="E14" s="206">
        <v>0</v>
      </c>
      <c r="F14" s="141"/>
      <c r="G14" s="142"/>
      <c r="H14" s="142"/>
    </row>
    <row r="15" spans="1:10" s="192" customFormat="1" x14ac:dyDescent="0.25">
      <c r="A15" s="207" t="s">
        <v>29</v>
      </c>
      <c r="B15" s="208" t="s">
        <v>127</v>
      </c>
      <c r="C15" s="209">
        <v>10047383</v>
      </c>
      <c r="D15" s="209">
        <v>3845325</v>
      </c>
      <c r="E15" s="210">
        <v>9356675</v>
      </c>
      <c r="F15" s="37">
        <f>+E15-D15</f>
        <v>5511350</v>
      </c>
      <c r="G15" s="140">
        <f>+E15/D15</f>
        <v>2.4332598675014467</v>
      </c>
      <c r="H15" s="140">
        <f>+E15/9806823</f>
        <v>0.95409848836876121</v>
      </c>
    </row>
    <row r="16" spans="1:10" s="192" customFormat="1" x14ac:dyDescent="0.25">
      <c r="A16" s="198" t="s">
        <v>7</v>
      </c>
      <c r="B16" s="199" t="s">
        <v>12</v>
      </c>
      <c r="C16" s="209">
        <f>+C17+C26</f>
        <v>7274545</v>
      </c>
      <c r="D16" s="209">
        <f>+D17+D26+D29</f>
        <v>20067870</v>
      </c>
      <c r="E16" s="210">
        <f>+E17+E26+E29</f>
        <v>25933250.789860003</v>
      </c>
      <c r="F16" s="37">
        <f t="shared" ref="F16:F36" si="2">+E16-D16</f>
        <v>5865380.7898600027</v>
      </c>
      <c r="G16" s="140">
        <f t="shared" si="1"/>
        <v>1.2922771968255726</v>
      </c>
      <c r="H16" s="140">
        <f>+'61'!I8</f>
        <v>1.0120137387881725</v>
      </c>
      <c r="I16" s="197"/>
    </row>
    <row r="17" spans="1:11" s="192" customFormat="1" x14ac:dyDescent="0.25">
      <c r="A17" s="198" t="s">
        <v>128</v>
      </c>
      <c r="B17" s="199" t="s">
        <v>129</v>
      </c>
      <c r="C17" s="209">
        <f>SUM(C18:C22)</f>
        <v>7274545</v>
      </c>
      <c r="D17" s="209">
        <f>SUM(D18:D23)</f>
        <v>17603196</v>
      </c>
      <c r="E17" s="210">
        <f>SUM(E18:E23)</f>
        <v>18917693.064860001</v>
      </c>
      <c r="F17" s="37">
        <f t="shared" si="2"/>
        <v>1314497.0648600012</v>
      </c>
      <c r="G17" s="140">
        <f t="shared" si="1"/>
        <v>1.0746737731523299</v>
      </c>
      <c r="H17" s="140">
        <f>+'61'!I9</f>
        <v>1.3561834426556221</v>
      </c>
      <c r="I17" s="197"/>
    </row>
    <row r="18" spans="1:11" x14ac:dyDescent="0.25">
      <c r="A18" s="202">
        <v>1</v>
      </c>
      <c r="B18" s="203" t="s">
        <v>130</v>
      </c>
      <c r="C18" s="204">
        <f>+'[1]U31.6.2018 (2)'!C12</f>
        <v>2996000</v>
      </c>
      <c r="D18" s="204">
        <f>+'[2]Uoc 2018_TH  theo mau 14'!E10</f>
        <v>2501387</v>
      </c>
      <c r="E18" s="211">
        <f>+'[2]Uoc 2018_TH  theo mau 14'!F10</f>
        <v>4419899</v>
      </c>
      <c r="F18" s="141">
        <f t="shared" si="2"/>
        <v>1918512</v>
      </c>
      <c r="G18" s="142">
        <f t="shared" si="1"/>
        <v>1.766979279895514</v>
      </c>
      <c r="H18" s="142">
        <f>+'61'!I11</f>
        <v>0.9130002053246401</v>
      </c>
    </row>
    <row r="19" spans="1:11" x14ac:dyDescent="0.25">
      <c r="A19" s="202">
        <v>2</v>
      </c>
      <c r="B19" s="203" t="s">
        <v>30</v>
      </c>
      <c r="C19" s="204">
        <f>+'[1]U31.6.2018 (2)'!C16</f>
        <v>4277095</v>
      </c>
      <c r="D19" s="204">
        <f>+'[2]Uoc 2018_TH  theo mau 14'!E24</f>
        <v>11543671</v>
      </c>
      <c r="E19" s="211">
        <f>+'[2]Uoc 2018_TH  theo mau 14'!F24</f>
        <v>11738727.064860001</v>
      </c>
      <c r="F19" s="141">
        <f t="shared" si="2"/>
        <v>195056.06486000121</v>
      </c>
      <c r="G19" s="142">
        <f t="shared" si="1"/>
        <v>1.0168972300804484</v>
      </c>
      <c r="H19" s="142">
        <f>+'61'!I24</f>
        <v>1.3083172151599365</v>
      </c>
    </row>
    <row r="20" spans="1:11" ht="38.25" customHeight="1" x14ac:dyDescent="0.25">
      <c r="A20" s="212">
        <v>3</v>
      </c>
      <c r="B20" s="213" t="s">
        <v>44</v>
      </c>
      <c r="C20" s="204">
        <f>+'[3]61'!C31</f>
        <v>0</v>
      </c>
      <c r="D20" s="204">
        <f>+'[2]Uoc 2018_TH  theo mau 14'!E39</f>
        <v>11901</v>
      </c>
      <c r="E20" s="211">
        <f>+'[2]Uoc 2018_TH  theo mau 14'!F39</f>
        <v>11901</v>
      </c>
      <c r="F20" s="141">
        <f t="shared" si="2"/>
        <v>0</v>
      </c>
      <c r="G20" s="142">
        <f t="shared" si="1"/>
        <v>1</v>
      </c>
      <c r="H20" s="142">
        <f>+'61'!I37</f>
        <v>0</v>
      </c>
    </row>
    <row r="21" spans="1:11" x14ac:dyDescent="0.25">
      <c r="A21" s="202">
        <v>4</v>
      </c>
      <c r="B21" s="203" t="s">
        <v>131</v>
      </c>
      <c r="C21" s="204">
        <v>1450</v>
      </c>
      <c r="D21" s="204">
        <f>+'[2]Uoc 2018_TH  theo mau 14'!E40</f>
        <v>1450</v>
      </c>
      <c r="E21" s="211">
        <f>+'[2]Uoc 2018_TH  theo mau 14'!F40</f>
        <v>1450</v>
      </c>
      <c r="F21" s="141">
        <f t="shared" si="2"/>
        <v>0</v>
      </c>
      <c r="G21" s="142">
        <f t="shared" si="1"/>
        <v>1</v>
      </c>
      <c r="H21" s="142">
        <f>+'61'!I38</f>
        <v>1</v>
      </c>
    </row>
    <row r="22" spans="1:11" x14ac:dyDescent="0.25">
      <c r="A22" s="202">
        <v>5</v>
      </c>
      <c r="B22" s="203" t="s">
        <v>132</v>
      </c>
      <c r="C22" s="204">
        <f>+'[3]61'!C33</f>
        <v>0</v>
      </c>
      <c r="D22" s="204">
        <f>+'[2]Uoc 2018_TH  theo mau 14'!E41</f>
        <v>512325</v>
      </c>
      <c r="E22" s="211">
        <f>+'[2]Uoc 2018_TH  theo mau 14'!F41</f>
        <v>312325</v>
      </c>
      <c r="F22" s="143">
        <f t="shared" si="2"/>
        <v>-200000</v>
      </c>
      <c r="G22" s="142">
        <f t="shared" si="1"/>
        <v>0.60962279802859509</v>
      </c>
      <c r="H22" s="142">
        <f>+'61'!I39</f>
        <v>6.5559403862300591</v>
      </c>
    </row>
    <row r="23" spans="1:11" x14ac:dyDescent="0.25">
      <c r="A23" s="212">
        <v>6</v>
      </c>
      <c r="B23" s="119" t="s">
        <v>50</v>
      </c>
      <c r="C23" s="204"/>
      <c r="D23" s="204">
        <f>+'[2]Uoc 2018_TH  theo mau 14'!E42</f>
        <v>3032462</v>
      </c>
      <c r="E23" s="214">
        <f>+'[2]Uoc 2018_TH  theo mau 14'!F42</f>
        <v>2433391</v>
      </c>
      <c r="F23" s="143">
        <f t="shared" si="2"/>
        <v>-599071</v>
      </c>
      <c r="G23" s="142">
        <f t="shared" si="1"/>
        <v>0.80244731838354444</v>
      </c>
      <c r="H23" s="142">
        <f>+'61'!I40</f>
        <v>13.961656080922136</v>
      </c>
    </row>
    <row r="24" spans="1:11" s="218" customFormat="1" hidden="1" x14ac:dyDescent="0.25">
      <c r="A24" s="215" t="s">
        <v>133</v>
      </c>
      <c r="B24" s="120" t="s">
        <v>51</v>
      </c>
      <c r="C24" s="216"/>
      <c r="D24" s="216">
        <f>+'[2]Uoc 2018_TH  theo mau 14'!E43</f>
        <v>2872095</v>
      </c>
      <c r="E24" s="217">
        <f>+'[2]Uoc 2018_TH  theo mau 14'!F43</f>
        <v>0</v>
      </c>
      <c r="F24" s="141"/>
      <c r="G24" s="142">
        <f t="shared" si="1"/>
        <v>0</v>
      </c>
      <c r="H24" s="142"/>
    </row>
    <row r="25" spans="1:11" s="218" customFormat="1" ht="31.5" hidden="1" x14ac:dyDescent="0.25">
      <c r="A25" s="215" t="s">
        <v>134</v>
      </c>
      <c r="B25" s="120" t="s">
        <v>52</v>
      </c>
      <c r="C25" s="216"/>
      <c r="D25" s="216">
        <f>+'[2]Uoc 2018_TH  theo mau 14'!E44</f>
        <v>160367</v>
      </c>
      <c r="E25" s="217">
        <f>+'[2]Uoc 2018_TH  theo mau 14'!F44</f>
        <v>2433391</v>
      </c>
      <c r="F25" s="141">
        <f t="shared" si="2"/>
        <v>2273024</v>
      </c>
      <c r="G25" s="142">
        <f t="shared" si="1"/>
        <v>15.17388864292529</v>
      </c>
      <c r="H25" s="142"/>
    </row>
    <row r="26" spans="1:11" s="192" customFormat="1" ht="31.5" x14ac:dyDescent="0.25">
      <c r="A26" s="207" t="s">
        <v>29</v>
      </c>
      <c r="B26" s="208" t="s">
        <v>165</v>
      </c>
      <c r="C26" s="209">
        <f>+'[3]61'!C36</f>
        <v>0</v>
      </c>
      <c r="D26" s="219">
        <f>+D27+D28</f>
        <v>2464674</v>
      </c>
      <c r="E26" s="210">
        <f>+E27+E28</f>
        <v>3889557.7250000001</v>
      </c>
      <c r="F26" s="37">
        <f t="shared" si="2"/>
        <v>1424883.7250000001</v>
      </c>
      <c r="G26" s="140">
        <f t="shared" si="1"/>
        <v>1.5781225934951235</v>
      </c>
      <c r="H26" s="140">
        <f>+'61'!I43</f>
        <v>1.6768912871496289</v>
      </c>
    </row>
    <row r="27" spans="1:11" hidden="1" x14ac:dyDescent="0.25">
      <c r="A27" s="212">
        <v>1</v>
      </c>
      <c r="B27" s="213" t="s">
        <v>135</v>
      </c>
      <c r="C27" s="204"/>
      <c r="D27" s="220">
        <f>+'[2]Uoc 2018_TH  theo mau 14'!E46</f>
        <v>472921</v>
      </c>
      <c r="E27" s="211">
        <f>+'[2]Uoc 2018_TH  theo mau 14'!F46</f>
        <v>499787</v>
      </c>
      <c r="F27" s="141">
        <f t="shared" si="2"/>
        <v>26866</v>
      </c>
      <c r="G27" s="142">
        <f t="shared" si="1"/>
        <v>1.0568086424582541</v>
      </c>
      <c r="H27" s="142"/>
    </row>
    <row r="28" spans="1:11" hidden="1" x14ac:dyDescent="0.25">
      <c r="A28" s="212">
        <v>2</v>
      </c>
      <c r="B28" s="213" t="s">
        <v>66</v>
      </c>
      <c r="C28" s="204"/>
      <c r="D28" s="220">
        <f>+'[2]Uoc 2018_TH  theo mau 14'!E59</f>
        <v>1991753</v>
      </c>
      <c r="E28" s="211">
        <f>+'[2]Uoc 2018_TH  theo mau 14'!F59</f>
        <v>3389770.7250000001</v>
      </c>
      <c r="F28" s="141">
        <f t="shared" si="2"/>
        <v>1398017.7250000001</v>
      </c>
      <c r="G28" s="142">
        <f t="shared" si="1"/>
        <v>1.7019031601810064</v>
      </c>
      <c r="H28" s="142"/>
    </row>
    <row r="29" spans="1:11" s="192" customFormat="1" x14ac:dyDescent="0.25">
      <c r="A29" s="207" t="s">
        <v>43</v>
      </c>
      <c r="B29" s="208" t="s">
        <v>136</v>
      </c>
      <c r="C29" s="209"/>
      <c r="D29" s="219"/>
      <c r="E29" s="210">
        <f>+'[2]Uoc 2018_TH  theo mau 14'!F102</f>
        <v>3126000</v>
      </c>
      <c r="F29" s="37">
        <f t="shared" si="2"/>
        <v>3126000</v>
      </c>
      <c r="G29" s="140"/>
      <c r="H29" s="140">
        <f>+'61'!I100</f>
        <v>0.33409304052988908</v>
      </c>
      <c r="I29" s="197"/>
    </row>
    <row r="30" spans="1:11" s="192" customFormat="1" x14ac:dyDescent="0.25">
      <c r="A30" s="207" t="s">
        <v>106</v>
      </c>
      <c r="B30" s="199" t="s">
        <v>137</v>
      </c>
      <c r="C30" s="209"/>
      <c r="D30" s="209">
        <v>76300</v>
      </c>
      <c r="E30" s="210">
        <v>76300</v>
      </c>
      <c r="F30" s="37">
        <f t="shared" si="2"/>
        <v>0</v>
      </c>
      <c r="G30" s="140">
        <f t="shared" si="1"/>
        <v>1</v>
      </c>
      <c r="H30" s="140"/>
      <c r="I30" s="197"/>
      <c r="J30" s="221"/>
      <c r="K30" s="197"/>
    </row>
    <row r="31" spans="1:11" s="192" customFormat="1" x14ac:dyDescent="0.25">
      <c r="A31" s="222" t="s">
        <v>138</v>
      </c>
      <c r="B31" s="223" t="s">
        <v>139</v>
      </c>
      <c r="C31" s="224">
        <v>86250</v>
      </c>
      <c r="D31" s="225">
        <f>73750+903</f>
        <v>74653</v>
      </c>
      <c r="E31" s="226">
        <f>+D31</f>
        <v>74653</v>
      </c>
      <c r="F31" s="148">
        <f t="shared" si="2"/>
        <v>0</v>
      </c>
      <c r="G31" s="149">
        <f t="shared" si="1"/>
        <v>1</v>
      </c>
      <c r="H31" s="149"/>
      <c r="J31" s="227"/>
      <c r="K31" s="197"/>
    </row>
    <row r="32" spans="1:11" s="192" customFormat="1" hidden="1" x14ac:dyDescent="0.25">
      <c r="A32" s="194" t="s">
        <v>14</v>
      </c>
      <c r="B32" s="228" t="s">
        <v>140</v>
      </c>
      <c r="C32" s="196"/>
      <c r="D32" s="229"/>
      <c r="E32" s="230"/>
      <c r="F32" s="146">
        <f t="shared" si="2"/>
        <v>0</v>
      </c>
      <c r="G32" s="147"/>
      <c r="H32" s="147"/>
      <c r="J32" s="197"/>
      <c r="K32" s="197"/>
    </row>
    <row r="33" spans="1:10" s="192" customFormat="1" ht="31.5" hidden="1" x14ac:dyDescent="0.25">
      <c r="A33" s="207" t="s">
        <v>29</v>
      </c>
      <c r="B33" s="231" t="s">
        <v>141</v>
      </c>
      <c r="C33" s="209"/>
      <c r="D33" s="219">
        <f>+D31</f>
        <v>74653</v>
      </c>
      <c r="E33" s="232">
        <f>+E31</f>
        <v>74653</v>
      </c>
      <c r="F33" s="37">
        <f t="shared" si="2"/>
        <v>0</v>
      </c>
      <c r="G33" s="140">
        <f t="shared" si="1"/>
        <v>1</v>
      </c>
      <c r="H33" s="140"/>
    </row>
    <row r="34" spans="1:10" hidden="1" x14ac:dyDescent="0.25">
      <c r="A34" s="207" t="s">
        <v>142</v>
      </c>
      <c r="B34" s="231" t="s">
        <v>143</v>
      </c>
      <c r="C34" s="209"/>
      <c r="D34" s="219">
        <f>+D35</f>
        <v>76300</v>
      </c>
      <c r="E34" s="232">
        <f>+E35</f>
        <v>76300</v>
      </c>
      <c r="F34" s="141">
        <f t="shared" si="2"/>
        <v>0</v>
      </c>
      <c r="G34" s="142"/>
      <c r="H34" s="142"/>
      <c r="I34" s="192"/>
      <c r="J34" s="192"/>
    </row>
    <row r="35" spans="1:10" s="192" customFormat="1" hidden="1" x14ac:dyDescent="0.25">
      <c r="A35" s="207" t="s">
        <v>14</v>
      </c>
      <c r="B35" s="231" t="s">
        <v>144</v>
      </c>
      <c r="C35" s="209"/>
      <c r="D35" s="219">
        <f>+D30</f>
        <v>76300</v>
      </c>
      <c r="E35" s="232">
        <f>+D35</f>
        <v>76300</v>
      </c>
      <c r="F35" s="37">
        <f t="shared" si="2"/>
        <v>0</v>
      </c>
      <c r="G35" s="140">
        <f t="shared" si="1"/>
        <v>1</v>
      </c>
      <c r="H35" s="140"/>
      <c r="I35" s="197"/>
    </row>
    <row r="36" spans="1:10" hidden="1" x14ac:dyDescent="0.25">
      <c r="A36" s="222" t="s">
        <v>29</v>
      </c>
      <c r="B36" s="223" t="s">
        <v>145</v>
      </c>
      <c r="C36" s="224"/>
      <c r="D36" s="225"/>
      <c r="E36" s="226"/>
      <c r="F36" s="144">
        <f t="shared" si="2"/>
        <v>0</v>
      </c>
      <c r="G36" s="145"/>
      <c r="H36" s="145"/>
    </row>
    <row r="37" spans="1:10" x14ac:dyDescent="0.25">
      <c r="A37" s="233"/>
      <c r="B37" s="234"/>
      <c r="C37" s="235"/>
      <c r="D37" s="236"/>
      <c r="E37" s="236"/>
      <c r="F37" s="121"/>
      <c r="G37" s="122"/>
      <c r="H37" s="122"/>
    </row>
    <row r="38" spans="1:10" x14ac:dyDescent="0.25">
      <c r="D38" s="237"/>
    </row>
  </sheetData>
  <mergeCells count="10">
    <mergeCell ref="F6:H6"/>
    <mergeCell ref="F5:H5"/>
    <mergeCell ref="A3:H3"/>
    <mergeCell ref="A4:H4"/>
    <mergeCell ref="E1:G1"/>
    <mergeCell ref="A6:A7"/>
    <mergeCell ref="B6:B7"/>
    <mergeCell ref="C6:C7"/>
    <mergeCell ref="D6:D7"/>
    <mergeCell ref="E6:E7"/>
  </mergeCells>
  <pageMargins left="0.52" right="0.22" top="0.73" bottom="0.49" header="0.3" footer="0.3"/>
  <pageSetup paperSize="9" scale="90"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26"/>
  <sheetViews>
    <sheetView showZeros="0" tabSelected="1" zoomScale="115" zoomScaleNormal="115" workbookViewId="0">
      <selection activeCell="G9" sqref="G9"/>
    </sheetView>
  </sheetViews>
  <sheetFormatPr defaultRowHeight="17.100000000000001" customHeight="1" x14ac:dyDescent="0.25"/>
  <cols>
    <col min="1" max="1" width="6.5703125" style="3" customWidth="1"/>
    <col min="2" max="2" width="42.85546875" style="2" customWidth="1"/>
    <col min="3" max="3" width="13.140625" style="2" hidden="1" customWidth="1"/>
    <col min="4" max="4" width="5" style="3" hidden="1" customWidth="1"/>
    <col min="5" max="5" width="12" style="3" hidden="1" customWidth="1"/>
    <col min="6" max="6" width="12" style="3" customWidth="1"/>
    <col min="7" max="7" width="11.140625" style="3" customWidth="1"/>
    <col min="8" max="8" width="12" style="99" customWidth="1"/>
    <col min="9" max="9" width="10.5703125" style="2" customWidth="1"/>
    <col min="10" max="10" width="11.5703125" style="2" customWidth="1"/>
    <col min="11" max="11" width="10.5703125" style="2" customWidth="1"/>
    <col min="12" max="12" width="9.28515625" style="2" bestFit="1" customWidth="1"/>
    <col min="13" max="13" width="8.7109375" style="2" customWidth="1"/>
    <col min="14" max="14" width="8.85546875" style="2" customWidth="1"/>
    <col min="15" max="16384" width="9.140625" style="2"/>
  </cols>
  <sheetData>
    <row r="1" spans="1:11" ht="17.100000000000001" customHeight="1" x14ac:dyDescent="0.25">
      <c r="A1" s="150" t="s">
        <v>166</v>
      </c>
      <c r="B1" s="1"/>
      <c r="C1" s="1"/>
      <c r="D1" s="1"/>
      <c r="E1" s="1"/>
      <c r="F1" s="1"/>
      <c r="G1" s="265" t="s">
        <v>155</v>
      </c>
      <c r="H1" s="265"/>
      <c r="I1" s="265"/>
    </row>
    <row r="2" spans="1:11" ht="15.75" customHeight="1" x14ac:dyDescent="0.25">
      <c r="A2" s="266" t="s">
        <v>148</v>
      </c>
      <c r="B2" s="266"/>
      <c r="C2" s="266"/>
      <c r="D2" s="266"/>
      <c r="E2" s="266"/>
      <c r="F2" s="266"/>
      <c r="G2" s="266"/>
      <c r="H2" s="266"/>
      <c r="I2" s="266"/>
    </row>
    <row r="3" spans="1:11" ht="17.100000000000001" customHeight="1" x14ac:dyDescent="0.25">
      <c r="A3" s="267" t="s">
        <v>149</v>
      </c>
      <c r="B3" s="267"/>
      <c r="C3" s="267"/>
      <c r="D3" s="267"/>
      <c r="E3" s="267"/>
      <c r="F3" s="267"/>
      <c r="G3" s="267"/>
      <c r="H3" s="267"/>
      <c r="I3" s="267"/>
    </row>
    <row r="4" spans="1:11" ht="17.100000000000001" customHeight="1" x14ac:dyDescent="0.25">
      <c r="B4" s="4"/>
      <c r="C4" s="4"/>
      <c r="H4" s="268" t="s">
        <v>0</v>
      </c>
      <c r="I4" s="268"/>
    </row>
    <row r="5" spans="1:11" ht="33.75" customHeight="1" x14ac:dyDescent="0.25">
      <c r="A5" s="269" t="s">
        <v>1</v>
      </c>
      <c r="B5" s="271" t="s">
        <v>2</v>
      </c>
      <c r="C5" s="5"/>
      <c r="D5" s="134" t="s">
        <v>3</v>
      </c>
      <c r="E5" s="258" t="s">
        <v>154</v>
      </c>
      <c r="F5" s="258" t="s">
        <v>3</v>
      </c>
      <c r="G5" s="258" t="s">
        <v>4</v>
      </c>
      <c r="H5" s="258" t="s">
        <v>153</v>
      </c>
      <c r="I5" s="258"/>
    </row>
    <row r="6" spans="1:11" ht="39.75" customHeight="1" x14ac:dyDescent="0.25">
      <c r="A6" s="270"/>
      <c r="B6" s="272"/>
      <c r="C6" s="6" t="s">
        <v>5</v>
      </c>
      <c r="D6" s="135"/>
      <c r="E6" s="258"/>
      <c r="F6" s="258"/>
      <c r="G6" s="258"/>
      <c r="H6" s="7" t="s">
        <v>150</v>
      </c>
      <c r="I6" s="7" t="s">
        <v>152</v>
      </c>
    </row>
    <row r="7" spans="1:11" ht="20.25" customHeight="1" x14ac:dyDescent="0.25">
      <c r="A7" s="7" t="s">
        <v>6</v>
      </c>
      <c r="B7" s="8" t="s">
        <v>7</v>
      </c>
      <c r="C7" s="8"/>
      <c r="D7" s="7" t="s">
        <v>8</v>
      </c>
      <c r="E7" s="7"/>
      <c r="F7" s="9" t="s">
        <v>9</v>
      </c>
      <c r="G7" s="9" t="s">
        <v>10</v>
      </c>
      <c r="H7" s="7" t="s">
        <v>151</v>
      </c>
      <c r="I7" s="244">
        <v>4</v>
      </c>
    </row>
    <row r="8" spans="1:11" s="14" customFormat="1" ht="17.100000000000001" customHeight="1" x14ac:dyDescent="0.25">
      <c r="A8" s="238"/>
      <c r="B8" s="239" t="s">
        <v>12</v>
      </c>
      <c r="C8" s="240">
        <f>+C9+C43</f>
        <v>7129334</v>
      </c>
      <c r="D8" s="240" t="e">
        <f>+D10+D37+#REF!+D24+D38+D39+D40+D43</f>
        <v>#REF!</v>
      </c>
      <c r="E8" s="240">
        <f>26697134-160000-911740</f>
        <v>25625394</v>
      </c>
      <c r="F8" s="241">
        <f>+F9+F43</f>
        <v>20067870</v>
      </c>
      <c r="G8" s="242">
        <f>+G9+G43+G100</f>
        <v>25933250.789860003</v>
      </c>
      <c r="H8" s="243">
        <f>+G8/F8</f>
        <v>1.2922771968255726</v>
      </c>
      <c r="I8" s="243">
        <f>+G8/E8</f>
        <v>1.0120137387881725</v>
      </c>
      <c r="J8" s="38"/>
    </row>
    <row r="9" spans="1:11" s="14" customFormat="1" ht="17.100000000000001" customHeight="1" x14ac:dyDescent="0.25">
      <c r="A9" s="10" t="s">
        <v>6</v>
      </c>
      <c r="B9" s="15" t="s">
        <v>13</v>
      </c>
      <c r="C9" s="11">
        <f>+C10+C24+C37+C38+C39+C40</f>
        <v>7129334</v>
      </c>
      <c r="D9" s="11"/>
      <c r="E9" s="11">
        <v>13949214</v>
      </c>
      <c r="F9" s="12">
        <f>+F10+F24+F37+F38+F39+F40</f>
        <v>17603196</v>
      </c>
      <c r="G9" s="123">
        <f>+G10+G24+G37+G38+G39+G40</f>
        <v>18917693.064860001</v>
      </c>
      <c r="H9" s="44">
        <f t="shared" ref="H9:H83" si="0">+G9/F9</f>
        <v>1.0746737731523299</v>
      </c>
      <c r="I9" s="44">
        <f t="shared" ref="I9:I22" si="1">+G9/E9</f>
        <v>1.3561834426556221</v>
      </c>
      <c r="J9" s="38"/>
    </row>
    <row r="10" spans="1:11" s="14" customFormat="1" ht="19.5" customHeight="1" x14ac:dyDescent="0.25">
      <c r="A10" s="10" t="s">
        <v>14</v>
      </c>
      <c r="B10" s="15" t="s">
        <v>15</v>
      </c>
      <c r="C10" s="11">
        <v>2996000</v>
      </c>
      <c r="D10" s="16">
        <f>(1722160+1825177+369954)/1000</f>
        <v>3917.2910000000002</v>
      </c>
      <c r="E10" s="16">
        <v>6397869</v>
      </c>
      <c r="F10" s="12">
        <f>2461938+G110</f>
        <v>2501387</v>
      </c>
      <c r="G10" s="123">
        <f>+G11+G21+G22+G23</f>
        <v>4419899</v>
      </c>
      <c r="H10" s="44">
        <f t="shared" si="0"/>
        <v>1.766979279895514</v>
      </c>
      <c r="I10" s="44">
        <f t="shared" si="1"/>
        <v>0.69083924663040142</v>
      </c>
    </row>
    <row r="11" spans="1:11" ht="19.5" customHeight="1" x14ac:dyDescent="0.25">
      <c r="A11" s="17">
        <v>1</v>
      </c>
      <c r="B11" s="18" t="s">
        <v>16</v>
      </c>
      <c r="C11" s="19">
        <f>+C10-C21</f>
        <v>2931000</v>
      </c>
      <c r="D11" s="20">
        <f>+D10</f>
        <v>3917.2910000000002</v>
      </c>
      <c r="E11" s="20">
        <v>4753448</v>
      </c>
      <c r="F11" s="21">
        <f>+F10-F22</f>
        <v>2421387</v>
      </c>
      <c r="G11" s="124">
        <f>+'[2]Uoc 2018 chi tiet (2)'!G10</f>
        <v>4339899</v>
      </c>
      <c r="H11" s="40">
        <f t="shared" si="0"/>
        <v>1.7923194433603551</v>
      </c>
      <c r="I11" s="40">
        <f t="shared" si="1"/>
        <v>0.9130002053246401</v>
      </c>
    </row>
    <row r="12" spans="1:11" ht="19.5" hidden="1" customHeight="1" x14ac:dyDescent="0.25">
      <c r="A12" s="17"/>
      <c r="B12" s="18" t="s">
        <v>17</v>
      </c>
      <c r="C12" s="19"/>
      <c r="D12" s="20"/>
      <c r="E12" s="20"/>
      <c r="F12" s="21"/>
      <c r="G12" s="124"/>
      <c r="H12" s="40"/>
      <c r="I12" s="40" t="e">
        <f t="shared" si="1"/>
        <v>#DIV/0!</v>
      </c>
      <c r="J12" s="3"/>
      <c r="K12" s="3"/>
    </row>
    <row r="13" spans="1:11" s="28" customFormat="1" ht="19.5" hidden="1" customHeight="1" x14ac:dyDescent="0.25">
      <c r="A13" s="23"/>
      <c r="B13" s="24" t="s">
        <v>18</v>
      </c>
      <c r="C13" s="25"/>
      <c r="D13" s="26"/>
      <c r="E13" s="26"/>
      <c r="F13" s="27">
        <v>869860</v>
      </c>
      <c r="G13" s="125">
        <f>+'[2]Uoc 2018 chi tiet (2)'!G11</f>
        <v>869860</v>
      </c>
      <c r="H13" s="40">
        <f t="shared" si="0"/>
        <v>1</v>
      </c>
      <c r="I13" s="40" t="e">
        <f t="shared" si="1"/>
        <v>#DIV/0!</v>
      </c>
    </row>
    <row r="14" spans="1:11" s="28" customFormat="1" ht="19.5" hidden="1" customHeight="1" x14ac:dyDescent="0.25">
      <c r="A14" s="29"/>
      <c r="B14" s="30" t="s">
        <v>19</v>
      </c>
      <c r="C14" s="31"/>
      <c r="D14" s="32"/>
      <c r="E14" s="32"/>
      <c r="F14" s="33">
        <v>15000</v>
      </c>
      <c r="G14" s="126">
        <v>15000</v>
      </c>
      <c r="H14" s="40">
        <f t="shared" si="0"/>
        <v>1</v>
      </c>
      <c r="I14" s="40" t="e">
        <f t="shared" si="1"/>
        <v>#DIV/0!</v>
      </c>
    </row>
    <row r="15" spans="1:11" s="28" customFormat="1" ht="19.5" hidden="1" customHeight="1" x14ac:dyDescent="0.25">
      <c r="A15" s="29"/>
      <c r="B15" s="30" t="s">
        <v>20</v>
      </c>
      <c r="C15" s="31"/>
      <c r="D15" s="32"/>
      <c r="E15" s="32"/>
      <c r="F15" s="33">
        <v>865000</v>
      </c>
      <c r="G15" s="126">
        <f>+'[2]Uoc 2018 chi tiet (2)'!G12+'[2]Uoc 2018 chi tiet (2)'!G13</f>
        <v>1001595</v>
      </c>
      <c r="H15" s="40">
        <f t="shared" si="0"/>
        <v>1.1579132947976878</v>
      </c>
      <c r="I15" s="40" t="e">
        <f t="shared" si="1"/>
        <v>#DIV/0!</v>
      </c>
    </row>
    <row r="16" spans="1:11" s="28" customFormat="1" ht="19.5" hidden="1" customHeight="1" x14ac:dyDescent="0.25">
      <c r="A16" s="29"/>
      <c r="B16" s="30" t="s">
        <v>21</v>
      </c>
      <c r="C16" s="31"/>
      <c r="D16" s="32"/>
      <c r="E16" s="32"/>
      <c r="F16" s="33">
        <v>76000</v>
      </c>
      <c r="G16" s="126">
        <f>+'[2]Uoc 2018 chi tiet (2)'!G14</f>
        <v>81327</v>
      </c>
      <c r="H16" s="40">
        <f t="shared" si="0"/>
        <v>1.0700921052631578</v>
      </c>
      <c r="I16" s="40" t="e">
        <f t="shared" si="1"/>
        <v>#DIV/0!</v>
      </c>
    </row>
    <row r="17" spans="1:10" s="28" customFormat="1" ht="31.5" hidden="1" x14ac:dyDescent="0.25">
      <c r="A17" s="29"/>
      <c r="B17" s="30" t="s">
        <v>22</v>
      </c>
      <c r="C17" s="31"/>
      <c r="D17" s="32"/>
      <c r="E17" s="32"/>
      <c r="F17" s="33">
        <v>12500</v>
      </c>
      <c r="G17" s="126">
        <v>12500</v>
      </c>
      <c r="H17" s="40">
        <f t="shared" si="0"/>
        <v>1</v>
      </c>
      <c r="I17" s="40" t="e">
        <f t="shared" si="1"/>
        <v>#DIV/0!</v>
      </c>
    </row>
    <row r="18" spans="1:10" s="28" customFormat="1" ht="19.5" hidden="1" customHeight="1" x14ac:dyDescent="0.25">
      <c r="A18" s="29"/>
      <c r="B18" s="30" t="s">
        <v>23</v>
      </c>
      <c r="C18" s="31"/>
      <c r="D18" s="32"/>
      <c r="E18" s="32"/>
      <c r="F18" s="33">
        <v>76300</v>
      </c>
      <c r="G18" s="126">
        <v>76300</v>
      </c>
      <c r="H18" s="40">
        <f t="shared" si="0"/>
        <v>1</v>
      </c>
      <c r="I18" s="40" t="e">
        <f t="shared" si="1"/>
        <v>#DIV/0!</v>
      </c>
    </row>
    <row r="19" spans="1:10" s="28" customFormat="1" ht="31.5" hidden="1" x14ac:dyDescent="0.25">
      <c r="A19" s="29"/>
      <c r="B19" s="30" t="s">
        <v>24</v>
      </c>
      <c r="C19" s="31"/>
      <c r="D19" s="32"/>
      <c r="E19" s="32"/>
      <c r="F19" s="33">
        <v>39449</v>
      </c>
      <c r="G19" s="126">
        <v>39449</v>
      </c>
      <c r="H19" s="40">
        <f t="shared" si="0"/>
        <v>1</v>
      </c>
      <c r="I19" s="40" t="e">
        <f t="shared" si="1"/>
        <v>#DIV/0!</v>
      </c>
    </row>
    <row r="20" spans="1:10" s="28" customFormat="1" ht="31.5" hidden="1" x14ac:dyDescent="0.25">
      <c r="A20" s="29"/>
      <c r="B20" s="30" t="s">
        <v>25</v>
      </c>
      <c r="C20" s="31"/>
      <c r="D20" s="32"/>
      <c r="E20" s="32"/>
      <c r="F20" s="33">
        <f>467278</f>
        <v>467278</v>
      </c>
      <c r="G20" s="126">
        <f>+G11-G13-G14-G15-G16-G17-G18-G19</f>
        <v>2243868</v>
      </c>
      <c r="H20" s="40">
        <f t="shared" si="0"/>
        <v>4.801997954108689</v>
      </c>
      <c r="I20" s="40" t="e">
        <f t="shared" si="1"/>
        <v>#DIV/0!</v>
      </c>
    </row>
    <row r="21" spans="1:10" ht="63" x14ac:dyDescent="0.25">
      <c r="A21" s="17">
        <v>2</v>
      </c>
      <c r="B21" s="18" t="s">
        <v>26</v>
      </c>
      <c r="C21" s="35">
        <v>65000</v>
      </c>
      <c r="D21" s="36"/>
      <c r="E21" s="34">
        <v>0</v>
      </c>
      <c r="F21" s="34">
        <v>0</v>
      </c>
      <c r="G21" s="127">
        <v>0</v>
      </c>
      <c r="H21" s="40"/>
      <c r="I21" s="40"/>
    </row>
    <row r="22" spans="1:10" ht="15.75" x14ac:dyDescent="0.25">
      <c r="A22" s="17">
        <v>3</v>
      </c>
      <c r="B22" s="18" t="s">
        <v>27</v>
      </c>
      <c r="C22" s="35"/>
      <c r="D22" s="36"/>
      <c r="E22" s="36">
        <v>146773</v>
      </c>
      <c r="F22" s="21">
        <v>80000</v>
      </c>
      <c r="G22" s="124">
        <v>80000</v>
      </c>
      <c r="H22" s="40">
        <f t="shared" si="0"/>
        <v>1</v>
      </c>
      <c r="I22" s="40">
        <f t="shared" si="1"/>
        <v>0.54505937740592614</v>
      </c>
    </row>
    <row r="23" spans="1:10" ht="15.75" x14ac:dyDescent="0.25">
      <c r="A23" s="17">
        <v>4</v>
      </c>
      <c r="B23" s="18" t="s">
        <v>28</v>
      </c>
      <c r="C23" s="35"/>
      <c r="D23" s="36"/>
      <c r="E23" s="34">
        <v>0</v>
      </c>
      <c r="F23" s="34">
        <v>0</v>
      </c>
      <c r="G23" s="127">
        <v>0</v>
      </c>
      <c r="H23" s="22"/>
      <c r="I23" s="44"/>
    </row>
    <row r="24" spans="1:10" s="14" customFormat="1" ht="20.25" customHeight="1" x14ac:dyDescent="0.25">
      <c r="A24" s="10" t="s">
        <v>29</v>
      </c>
      <c r="B24" s="15" t="s">
        <v>30</v>
      </c>
      <c r="C24" s="11">
        <f>SUM(C26:C36)</f>
        <v>4131884</v>
      </c>
      <c r="D24" s="16">
        <f>11135479/1000+33.167+69.8+166.576</f>
        <v>11405.021999999997</v>
      </c>
      <c r="E24" s="16">
        <v>8972386</v>
      </c>
      <c r="F24" s="12">
        <v>11543671</v>
      </c>
      <c r="G24" s="123">
        <v>11738727.064860001</v>
      </c>
      <c r="H24" s="139">
        <f t="shared" si="0"/>
        <v>1.0168972300804484</v>
      </c>
      <c r="I24" s="44">
        <f>+G24/E24</f>
        <v>1.3083172151599365</v>
      </c>
    </row>
    <row r="25" spans="1:10" s="28" customFormat="1" ht="17.25" customHeight="1" x14ac:dyDescent="0.25">
      <c r="A25" s="29"/>
      <c r="B25" s="30" t="s">
        <v>31</v>
      </c>
      <c r="C25" s="30"/>
      <c r="D25" s="32"/>
      <c r="E25" s="32"/>
      <c r="F25" s="33"/>
      <c r="G25" s="124"/>
      <c r="H25" s="22"/>
      <c r="I25" s="133"/>
    </row>
    <row r="26" spans="1:10" ht="15.75" x14ac:dyDescent="0.25">
      <c r="A26" s="17"/>
      <c r="B26" s="18" t="s">
        <v>32</v>
      </c>
      <c r="C26" s="35">
        <f>1575524</f>
        <v>1575524</v>
      </c>
      <c r="D26" s="36">
        <f>4126432/1000+5.782</f>
        <v>4132.2139999999999</v>
      </c>
      <c r="E26" s="36">
        <f>3341079-67667-21422-6950-65662-2000-6872-4196-3055</f>
        <v>3163255</v>
      </c>
      <c r="F26" s="21">
        <f>4328909</f>
        <v>4328909</v>
      </c>
      <c r="G26" s="124">
        <f>+'[2]Uoc 2018 chi tiet (2)'!G22</f>
        <v>4364915.67086</v>
      </c>
      <c r="H26" s="40">
        <f t="shared" si="0"/>
        <v>1.008317724133263</v>
      </c>
      <c r="I26" s="40">
        <f>+G26/E26</f>
        <v>1.3798810626585589</v>
      </c>
      <c r="J26" s="3"/>
    </row>
    <row r="27" spans="1:10" ht="15.75" x14ac:dyDescent="0.25">
      <c r="A27" s="17"/>
      <c r="B27" s="18" t="s">
        <v>33</v>
      </c>
      <c r="C27" s="35">
        <f>371847</f>
        <v>371847</v>
      </c>
      <c r="D27" s="36">
        <v>8.9879999999999995</v>
      </c>
      <c r="E27" s="36">
        <f>875298-23755-9610</f>
        <v>841933</v>
      </c>
      <c r="F27" s="21">
        <f>1109456+J106</f>
        <v>1109456</v>
      </c>
      <c r="G27" s="124">
        <f>+'[2]Uoc 2018 chi tiet (2)'!G23</f>
        <v>1158113.2</v>
      </c>
      <c r="H27" s="40">
        <f t="shared" si="0"/>
        <v>1.0438568091028395</v>
      </c>
      <c r="I27" s="40">
        <f t="shared" ref="I27:I90" si="2">+G27/E27</f>
        <v>1.3755408090667547</v>
      </c>
      <c r="J27" s="3"/>
    </row>
    <row r="28" spans="1:10" ht="15.75" x14ac:dyDescent="0.25">
      <c r="A28" s="17"/>
      <c r="B28" s="18" t="s">
        <v>34</v>
      </c>
      <c r="C28" s="35">
        <v>29446</v>
      </c>
      <c r="D28" s="36">
        <f>29200/1000</f>
        <v>29.2</v>
      </c>
      <c r="E28" s="36">
        <v>28414</v>
      </c>
      <c r="F28" s="21">
        <f>40290</f>
        <v>40290</v>
      </c>
      <c r="G28" s="124">
        <f>+'[2]Uoc 2018 chi tiet (2)'!G24</f>
        <v>77939.899999999994</v>
      </c>
      <c r="H28" s="40">
        <f t="shared" si="0"/>
        <v>1.9344725738396622</v>
      </c>
      <c r="I28" s="40">
        <f t="shared" si="2"/>
        <v>2.7430104877877102</v>
      </c>
    </row>
    <row r="29" spans="1:10" ht="15.75" x14ac:dyDescent="0.25">
      <c r="A29" s="17"/>
      <c r="B29" s="18" t="s">
        <v>35</v>
      </c>
      <c r="C29" s="35">
        <v>73865</v>
      </c>
      <c r="D29" s="36">
        <v>1.2929999999999999</v>
      </c>
      <c r="E29" s="36">
        <f>178410-586-1950-585-1150</f>
        <v>174139</v>
      </c>
      <c r="F29" s="21">
        <f>217724+K106</f>
        <v>217724</v>
      </c>
      <c r="G29" s="124">
        <f>+'[2]Uoc 2018 chi tiet (2)'!G25+21000</f>
        <v>218617.7</v>
      </c>
      <c r="H29" s="40">
        <f t="shared" si="0"/>
        <v>1.0041047381087984</v>
      </c>
      <c r="I29" s="40">
        <f t="shared" si="2"/>
        <v>1.2554206696948991</v>
      </c>
    </row>
    <row r="30" spans="1:10" ht="15.75" x14ac:dyDescent="0.25">
      <c r="A30" s="17"/>
      <c r="B30" s="18" t="s">
        <v>36</v>
      </c>
      <c r="C30" s="35">
        <v>20196</v>
      </c>
      <c r="D30" s="36"/>
      <c r="E30" s="36">
        <v>53517</v>
      </c>
      <c r="F30" s="21">
        <f>48417+L106</f>
        <v>48417</v>
      </c>
      <c r="G30" s="124">
        <f>+'[2]Uoc 2018 chi tiet (2)'!G26+600-1000</f>
        <v>48526.400000000001</v>
      </c>
      <c r="H30" s="40">
        <f t="shared" si="0"/>
        <v>1.0022595369395046</v>
      </c>
      <c r="I30" s="40">
        <f t="shared" si="2"/>
        <v>0.90674738868023252</v>
      </c>
    </row>
    <row r="31" spans="1:10" ht="15.75" x14ac:dyDescent="0.25">
      <c r="A31" s="17"/>
      <c r="B31" s="18" t="s">
        <v>37</v>
      </c>
      <c r="C31" s="35">
        <v>27092</v>
      </c>
      <c r="D31" s="36"/>
      <c r="E31" s="36">
        <v>60757</v>
      </c>
      <c r="F31" s="21">
        <f>86851</f>
        <v>86851</v>
      </c>
      <c r="G31" s="124">
        <f>+'[2]Uoc 2018 chi tiet (2)'!G27+13500</f>
        <v>87109</v>
      </c>
      <c r="H31" s="40">
        <f t="shared" si="0"/>
        <v>1.0029706048289599</v>
      </c>
      <c r="I31" s="40">
        <f t="shared" si="2"/>
        <v>1.4337278009118291</v>
      </c>
    </row>
    <row r="32" spans="1:10" ht="15.75" x14ac:dyDescent="0.25">
      <c r="A32" s="17"/>
      <c r="B32" s="18" t="s">
        <v>38</v>
      </c>
      <c r="C32" s="35">
        <f>558603</f>
        <v>558603</v>
      </c>
      <c r="D32" s="36">
        <v>4.5350000000000001</v>
      </c>
      <c r="E32" s="36">
        <f>1115376-174291-183-87832-8889-12042</f>
        <v>832139</v>
      </c>
      <c r="F32" s="21">
        <f>1025896+N106</f>
        <v>1025896</v>
      </c>
      <c r="G32" s="124">
        <f>+'[2]Uoc 2018 chi tiet (2)'!G28+16000</f>
        <v>1026277.6</v>
      </c>
      <c r="H32" s="40">
        <f t="shared" si="0"/>
        <v>1.0003719675288723</v>
      </c>
      <c r="I32" s="40">
        <f t="shared" si="2"/>
        <v>1.2333006865439549</v>
      </c>
    </row>
    <row r="33" spans="1:10" ht="15.75" x14ac:dyDescent="0.25">
      <c r="A33" s="17"/>
      <c r="B33" s="18" t="s">
        <v>39</v>
      </c>
      <c r="C33" s="35">
        <f>356392</f>
        <v>356392</v>
      </c>
      <c r="D33" s="36">
        <f>25+2+37.098+79.49+33.167+69.8</f>
        <v>246.55500000000001</v>
      </c>
      <c r="E33" s="36">
        <f>1205942-72482-48009-15237-157</f>
        <v>1070057</v>
      </c>
      <c r="F33" s="21">
        <f>2034780+M106+H106</f>
        <v>2034780</v>
      </c>
      <c r="G33" s="124">
        <f>+'[2]Uoc 2018 chi tiet (2)'!G29-600+1000</f>
        <v>2054141.1</v>
      </c>
      <c r="H33" s="40">
        <f t="shared" si="0"/>
        <v>1.0095150827116446</v>
      </c>
      <c r="I33" s="40">
        <f t="shared" si="2"/>
        <v>1.9196557753465471</v>
      </c>
    </row>
    <row r="34" spans="1:10" ht="15.75" x14ac:dyDescent="0.25">
      <c r="A34" s="17"/>
      <c r="B34" s="18" t="s">
        <v>40</v>
      </c>
      <c r="C34" s="35">
        <v>47423</v>
      </c>
      <c r="D34" s="36">
        <f>158853/1000</f>
        <v>158.85300000000001</v>
      </c>
      <c r="E34" s="36">
        <v>165482</v>
      </c>
      <c r="F34" s="21">
        <f>171528</f>
        <v>171528</v>
      </c>
      <c r="G34" s="124">
        <f>+'[2]Uoc 2018 chi tiet (2)'!G30</f>
        <v>137471.49400000001</v>
      </c>
      <c r="H34" s="40">
        <f t="shared" si="0"/>
        <v>0.80145220605382217</v>
      </c>
      <c r="I34" s="40">
        <f t="shared" si="2"/>
        <v>0.83073381999250673</v>
      </c>
      <c r="J34" s="3"/>
    </row>
    <row r="35" spans="1:10" ht="15.75" x14ac:dyDescent="0.25">
      <c r="A35" s="17"/>
      <c r="B35" s="18" t="s">
        <v>41</v>
      </c>
      <c r="C35" s="35">
        <v>1001855</v>
      </c>
      <c r="D35" s="36"/>
      <c r="E35" s="36">
        <v>2256471</v>
      </c>
      <c r="F35" s="21">
        <f>2150852</f>
        <v>2150852</v>
      </c>
      <c r="G35" s="124">
        <f>+'[2]Uoc 2018 chi tiet (2)'!G31-21000-16000-13500</f>
        <v>2208149.2000000002</v>
      </c>
      <c r="H35" s="40">
        <f t="shared" si="0"/>
        <v>1.0266393038665609</v>
      </c>
      <c r="I35" s="40">
        <f t="shared" si="2"/>
        <v>0.97858523331343505</v>
      </c>
    </row>
    <row r="36" spans="1:10" ht="15.75" x14ac:dyDescent="0.25">
      <c r="A36" s="17"/>
      <c r="B36" s="18" t="s">
        <v>42</v>
      </c>
      <c r="C36" s="35">
        <v>69641</v>
      </c>
      <c r="D36" s="36"/>
      <c r="E36" s="36">
        <v>111195</v>
      </c>
      <c r="F36" s="21">
        <f>63902</f>
        <v>63902</v>
      </c>
      <c r="G36" s="124">
        <f>+'[2]Uoc 2018 chi tiet (2)'!G32</f>
        <v>80913.3</v>
      </c>
      <c r="H36" s="40">
        <f t="shared" si="0"/>
        <v>1.2662091953303496</v>
      </c>
      <c r="I36" s="40">
        <f t="shared" si="2"/>
        <v>0.72767030891676787</v>
      </c>
    </row>
    <row r="37" spans="1:10" s="14" customFormat="1" ht="31.5" x14ac:dyDescent="0.25">
      <c r="A37" s="10" t="s">
        <v>43</v>
      </c>
      <c r="B37" s="15" t="s">
        <v>44</v>
      </c>
      <c r="C37" s="11"/>
      <c r="D37" s="16">
        <v>12.1</v>
      </c>
      <c r="E37" s="34">
        <v>0</v>
      </c>
      <c r="F37" s="12">
        <v>11901</v>
      </c>
      <c r="G37" s="128">
        <f>+'[2]Uoc 2018 chi tiet (2)'!G33</f>
        <v>11901</v>
      </c>
      <c r="H37" s="44">
        <f t="shared" si="0"/>
        <v>1</v>
      </c>
      <c r="I37" s="44"/>
    </row>
    <row r="38" spans="1:10" s="14" customFormat="1" ht="21" customHeight="1" x14ac:dyDescent="0.25">
      <c r="A38" s="10" t="s">
        <v>45</v>
      </c>
      <c r="B38" s="15" t="s">
        <v>46</v>
      </c>
      <c r="C38" s="11">
        <v>1450</v>
      </c>
      <c r="D38" s="41">
        <f>1450/1000</f>
        <v>1.45</v>
      </c>
      <c r="E38" s="16">
        <v>1450</v>
      </c>
      <c r="F38" s="42">
        <f>1450</f>
        <v>1450</v>
      </c>
      <c r="G38" s="123">
        <f>+'[2]Uoc 2018 chi tiet (2)'!G34</f>
        <v>1450</v>
      </c>
      <c r="H38" s="44">
        <f t="shared" si="0"/>
        <v>1</v>
      </c>
      <c r="I38" s="44">
        <f t="shared" si="2"/>
        <v>1</v>
      </c>
    </row>
    <row r="39" spans="1:10" s="14" customFormat="1" ht="19.5" customHeight="1" x14ac:dyDescent="0.25">
      <c r="A39" s="10" t="s">
        <v>47</v>
      </c>
      <c r="B39" s="15" t="s">
        <v>48</v>
      </c>
      <c r="C39" s="15"/>
      <c r="D39" s="16">
        <f>273260/1000</f>
        <v>273.26</v>
      </c>
      <c r="E39" s="16">
        <v>47640</v>
      </c>
      <c r="F39" s="42">
        <f>512325</f>
        <v>512325</v>
      </c>
      <c r="G39" s="123">
        <f>+'[2]Uoc 2018 chi tiet (2)'!G35</f>
        <v>312325</v>
      </c>
      <c r="H39" s="44">
        <f t="shared" si="0"/>
        <v>0.60962279802859509</v>
      </c>
      <c r="I39" s="44">
        <f t="shared" si="2"/>
        <v>6.5559403862300591</v>
      </c>
    </row>
    <row r="40" spans="1:10" s="14" customFormat="1" ht="15.75" x14ac:dyDescent="0.25">
      <c r="A40" s="10" t="s">
        <v>49</v>
      </c>
      <c r="B40" s="43" t="s">
        <v>50</v>
      </c>
      <c r="C40" s="15"/>
      <c r="D40" s="16">
        <f>595061/1000</f>
        <v>595.06100000000004</v>
      </c>
      <c r="E40" s="16">
        <v>174291</v>
      </c>
      <c r="F40" s="42">
        <f>3032462</f>
        <v>3032462</v>
      </c>
      <c r="G40" s="123">
        <f>+'[2]Uoc 2018 chi tiet (2)'!G36</f>
        <v>2433391</v>
      </c>
      <c r="H40" s="44">
        <f t="shared" si="0"/>
        <v>0.80244731838354444</v>
      </c>
      <c r="I40" s="44">
        <f t="shared" si="2"/>
        <v>13.961656080922136</v>
      </c>
    </row>
    <row r="41" spans="1:10" s="14" customFormat="1" ht="15.75" hidden="1" x14ac:dyDescent="0.25">
      <c r="A41" s="10">
        <v>1</v>
      </c>
      <c r="B41" s="188" t="s">
        <v>51</v>
      </c>
      <c r="C41" s="15"/>
      <c r="D41" s="16"/>
      <c r="E41" s="16"/>
      <c r="F41" s="42">
        <v>2872095</v>
      </c>
      <c r="G41" s="123"/>
      <c r="H41" s="44">
        <f t="shared" si="0"/>
        <v>0</v>
      </c>
      <c r="I41" s="44" t="e">
        <f t="shared" si="2"/>
        <v>#DIV/0!</v>
      </c>
    </row>
    <row r="42" spans="1:10" s="14" customFormat="1" ht="31.5" hidden="1" x14ac:dyDescent="0.25">
      <c r="A42" s="10">
        <v>2</v>
      </c>
      <c r="B42" s="188" t="s">
        <v>52</v>
      </c>
      <c r="C42" s="15"/>
      <c r="D42" s="16"/>
      <c r="E42" s="16"/>
      <c r="F42" s="42">
        <f>+F40-F41</f>
        <v>160367</v>
      </c>
      <c r="G42" s="123">
        <v>2433391</v>
      </c>
      <c r="H42" s="44">
        <f t="shared" si="0"/>
        <v>15.17388864292529</v>
      </c>
      <c r="I42" s="44" t="e">
        <f t="shared" si="2"/>
        <v>#DIV/0!</v>
      </c>
    </row>
    <row r="43" spans="1:10" s="46" customFormat="1" ht="15.75" x14ac:dyDescent="0.2">
      <c r="A43" s="10" t="s">
        <v>7</v>
      </c>
      <c r="B43" s="15" t="s">
        <v>53</v>
      </c>
      <c r="C43" s="15"/>
      <c r="D43" s="45"/>
      <c r="E43" s="42">
        <v>2319505</v>
      </c>
      <c r="F43" s="42">
        <f>+F44+F57</f>
        <v>2464674</v>
      </c>
      <c r="G43" s="129">
        <f>+G44+G57</f>
        <v>3889557.7250000001</v>
      </c>
      <c r="H43" s="44">
        <f t="shared" si="0"/>
        <v>1.5781225934951235</v>
      </c>
      <c r="I43" s="44">
        <f t="shared" si="2"/>
        <v>1.6768912871496289</v>
      </c>
    </row>
    <row r="44" spans="1:10" s="49" customFormat="1" ht="15.75" x14ac:dyDescent="0.2">
      <c r="A44" s="17">
        <v>1</v>
      </c>
      <c r="B44" s="18" t="s">
        <v>54</v>
      </c>
      <c r="C44" s="18"/>
      <c r="D44" s="48"/>
      <c r="E44" s="39">
        <v>478132</v>
      </c>
      <c r="F44" s="39">
        <v>472921</v>
      </c>
      <c r="G44" s="124">
        <f>+G45+G48</f>
        <v>499787</v>
      </c>
      <c r="H44" s="40">
        <f t="shared" si="0"/>
        <v>1.0568086424582541</v>
      </c>
      <c r="I44" s="40">
        <f t="shared" si="2"/>
        <v>1.0452908401863921</v>
      </c>
      <c r="J44" s="245">
        <f>+G46+G49</f>
        <v>396485</v>
      </c>
    </row>
    <row r="45" spans="1:10" s="49" customFormat="1" ht="15.75" x14ac:dyDescent="0.2">
      <c r="A45" s="17" t="s">
        <v>55</v>
      </c>
      <c r="B45" s="18" t="s">
        <v>56</v>
      </c>
      <c r="C45" s="18"/>
      <c r="D45" s="48"/>
      <c r="E45" s="48"/>
      <c r="F45" s="39">
        <f>SUM(F46:F47)</f>
        <v>246900</v>
      </c>
      <c r="G45" s="130">
        <f>SUM(G46:G47)</f>
        <v>246900</v>
      </c>
      <c r="H45" s="40">
        <f t="shared" si="0"/>
        <v>1</v>
      </c>
      <c r="I45" s="40" t="e">
        <f t="shared" si="2"/>
        <v>#DIV/0!</v>
      </c>
      <c r="J45" s="245">
        <f>+G47+G50</f>
        <v>103302</v>
      </c>
    </row>
    <row r="46" spans="1:10" s="53" customFormat="1" ht="15.75" x14ac:dyDescent="0.2">
      <c r="A46" s="29"/>
      <c r="B46" s="30" t="s">
        <v>57</v>
      </c>
      <c r="C46" s="30"/>
      <c r="D46" s="51"/>
      <c r="E46" s="51"/>
      <c r="F46" s="52">
        <v>177100</v>
      </c>
      <c r="G46" s="126">
        <f>+'[2]Uoc 2018 chi tiet (2)'!G40</f>
        <v>177100</v>
      </c>
      <c r="H46" s="40">
        <f t="shared" si="0"/>
        <v>1</v>
      </c>
      <c r="I46" s="40" t="e">
        <f t="shared" si="2"/>
        <v>#DIV/0!</v>
      </c>
    </row>
    <row r="47" spans="1:10" s="53" customFormat="1" ht="15.75" x14ac:dyDescent="0.2">
      <c r="A47" s="29"/>
      <c r="B47" s="30" t="s">
        <v>58</v>
      </c>
      <c r="C47" s="30"/>
      <c r="D47" s="51"/>
      <c r="E47" s="51"/>
      <c r="F47" s="52">
        <v>69800</v>
      </c>
      <c r="G47" s="126">
        <f>+'[2]Uoc 2018 chi tiet (2)'!G41</f>
        <v>69800</v>
      </c>
      <c r="H47" s="40">
        <f t="shared" si="0"/>
        <v>1</v>
      </c>
      <c r="I47" s="40" t="e">
        <f t="shared" si="2"/>
        <v>#DIV/0!</v>
      </c>
    </row>
    <row r="48" spans="1:10" s="49" customFormat="1" ht="15.75" x14ac:dyDescent="0.2">
      <c r="A48" s="17" t="s">
        <v>59</v>
      </c>
      <c r="B48" s="18" t="s">
        <v>60</v>
      </c>
      <c r="C48" s="18"/>
      <c r="D48" s="48"/>
      <c r="E48" s="48"/>
      <c r="F48" s="39">
        <f t="shared" ref="F48:G50" si="3">+F51+F54</f>
        <v>226021</v>
      </c>
      <c r="G48" s="124">
        <f t="shared" si="3"/>
        <v>252887</v>
      </c>
      <c r="H48" s="40">
        <f t="shared" si="0"/>
        <v>1.1188650612111264</v>
      </c>
      <c r="I48" s="40" t="e">
        <f t="shared" si="2"/>
        <v>#DIV/0!</v>
      </c>
    </row>
    <row r="49" spans="1:10" s="49" customFormat="1" ht="15.75" x14ac:dyDescent="0.2">
      <c r="A49" s="17"/>
      <c r="B49" s="30" t="s">
        <v>57</v>
      </c>
      <c r="C49" s="18"/>
      <c r="D49" s="48"/>
      <c r="E49" s="48"/>
      <c r="F49" s="39">
        <f t="shared" si="3"/>
        <v>192854</v>
      </c>
      <c r="G49" s="124">
        <f t="shared" si="3"/>
        <v>219385</v>
      </c>
      <c r="H49" s="40">
        <f t="shared" si="0"/>
        <v>1.1375703900359857</v>
      </c>
      <c r="I49" s="40" t="e">
        <f t="shared" si="2"/>
        <v>#DIV/0!</v>
      </c>
    </row>
    <row r="50" spans="1:10" s="49" customFormat="1" ht="15.75" x14ac:dyDescent="0.2">
      <c r="A50" s="17"/>
      <c r="B50" s="30" t="s">
        <v>58</v>
      </c>
      <c r="C50" s="18"/>
      <c r="D50" s="48"/>
      <c r="E50" s="48"/>
      <c r="F50" s="39">
        <f t="shared" si="3"/>
        <v>33167</v>
      </c>
      <c r="G50" s="124">
        <f t="shared" si="3"/>
        <v>33502</v>
      </c>
      <c r="H50" s="40">
        <f t="shared" si="0"/>
        <v>1.0101004010009951</v>
      </c>
      <c r="I50" s="40" t="e">
        <f t="shared" si="2"/>
        <v>#DIV/0!</v>
      </c>
    </row>
    <row r="51" spans="1:10" s="49" customFormat="1" ht="15.75" x14ac:dyDescent="0.2">
      <c r="A51" s="17" t="s">
        <v>61</v>
      </c>
      <c r="B51" s="18" t="s">
        <v>62</v>
      </c>
      <c r="C51" s="18"/>
      <c r="D51" s="48"/>
      <c r="E51" s="48"/>
      <c r="F51" s="39">
        <f>+F52+F53</f>
        <v>129124</v>
      </c>
      <c r="G51" s="124">
        <f>+G52+G53</f>
        <v>129459</v>
      </c>
      <c r="H51" s="40">
        <f t="shared" si="0"/>
        <v>1.0025944053777764</v>
      </c>
      <c r="I51" s="40" t="e">
        <f t="shared" si="2"/>
        <v>#DIV/0!</v>
      </c>
    </row>
    <row r="52" spans="1:10" s="53" customFormat="1" ht="15.75" x14ac:dyDescent="0.2">
      <c r="A52" s="29"/>
      <c r="B52" s="30" t="s">
        <v>63</v>
      </c>
      <c r="C52" s="30"/>
      <c r="D52" s="51"/>
      <c r="E52" s="51"/>
      <c r="F52" s="52">
        <v>120194</v>
      </c>
      <c r="G52" s="126">
        <f>+'[2]Uoc 2018 chi tiet (2)'!G44</f>
        <v>120194</v>
      </c>
      <c r="H52" s="40">
        <f t="shared" si="0"/>
        <v>1</v>
      </c>
      <c r="I52" s="40" t="e">
        <f t="shared" si="2"/>
        <v>#DIV/0!</v>
      </c>
    </row>
    <row r="53" spans="1:10" s="53" customFormat="1" ht="15.75" x14ac:dyDescent="0.2">
      <c r="A53" s="29"/>
      <c r="B53" s="30" t="s">
        <v>30</v>
      </c>
      <c r="C53" s="30"/>
      <c r="D53" s="51"/>
      <c r="E53" s="51"/>
      <c r="F53" s="52">
        <v>8930</v>
      </c>
      <c r="G53" s="126">
        <f>+'[2]Uoc 2018 chi tiet (2)'!G45</f>
        <v>9265</v>
      </c>
      <c r="H53" s="40">
        <f t="shared" si="0"/>
        <v>1.0375139977603582</v>
      </c>
      <c r="I53" s="40" t="e">
        <f t="shared" si="2"/>
        <v>#DIV/0!</v>
      </c>
    </row>
    <row r="54" spans="1:10" s="49" customFormat="1" ht="15.75" x14ac:dyDescent="0.2">
      <c r="A54" s="17" t="s">
        <v>64</v>
      </c>
      <c r="B54" s="18" t="s">
        <v>65</v>
      </c>
      <c r="C54" s="18"/>
      <c r="D54" s="48"/>
      <c r="E54" s="48"/>
      <c r="F54" s="39">
        <f>+F55+F56</f>
        <v>96897</v>
      </c>
      <c r="G54" s="124">
        <f>+G55+G56</f>
        <v>123428</v>
      </c>
      <c r="H54" s="40">
        <f t="shared" si="0"/>
        <v>1.2738062065905034</v>
      </c>
      <c r="I54" s="40" t="e">
        <f t="shared" si="2"/>
        <v>#DIV/0!</v>
      </c>
    </row>
    <row r="55" spans="1:10" s="53" customFormat="1" ht="15.75" x14ac:dyDescent="0.2">
      <c r="A55" s="29"/>
      <c r="B55" s="30" t="s">
        <v>63</v>
      </c>
      <c r="C55" s="30"/>
      <c r="D55" s="51"/>
      <c r="E55" s="51"/>
      <c r="F55" s="52">
        <v>72660</v>
      </c>
      <c r="G55" s="126">
        <f>+'[2]Uoc 2018 chi tiet (2)'!G47</f>
        <v>99191</v>
      </c>
      <c r="H55" s="40">
        <f t="shared" si="0"/>
        <v>1.36513900357831</v>
      </c>
      <c r="I55" s="40" t="e">
        <f t="shared" si="2"/>
        <v>#DIV/0!</v>
      </c>
    </row>
    <row r="56" spans="1:10" s="53" customFormat="1" ht="15.75" x14ac:dyDescent="0.2">
      <c r="A56" s="29"/>
      <c r="B56" s="30" t="s">
        <v>30</v>
      </c>
      <c r="C56" s="30"/>
      <c r="D56" s="51"/>
      <c r="E56" s="51"/>
      <c r="F56" s="52">
        <v>24237</v>
      </c>
      <c r="G56" s="126">
        <f>+'[2]Uoc 2018 chi tiet (2)'!G48</f>
        <v>24237</v>
      </c>
      <c r="H56" s="40">
        <f t="shared" si="0"/>
        <v>1</v>
      </c>
      <c r="I56" s="40" t="e">
        <f t="shared" si="2"/>
        <v>#DIV/0!</v>
      </c>
    </row>
    <row r="57" spans="1:10" s="49" customFormat="1" ht="15.75" x14ac:dyDescent="0.2">
      <c r="A57" s="17">
        <v>2</v>
      </c>
      <c r="B57" s="18" t="s">
        <v>157</v>
      </c>
      <c r="C57" s="18"/>
      <c r="D57" s="48"/>
      <c r="E57" s="48"/>
      <c r="F57" s="39">
        <f>+F58+F76</f>
        <v>1991753</v>
      </c>
      <c r="G57" s="124">
        <f>+G58+G76</f>
        <v>3389770.7250000001</v>
      </c>
      <c r="H57" s="40">
        <f t="shared" si="0"/>
        <v>1.7019031601810064</v>
      </c>
      <c r="I57" s="40" t="e">
        <f t="shared" si="2"/>
        <v>#DIV/0!</v>
      </c>
      <c r="J57" s="245">
        <f>+G57+G58</f>
        <v>6410995.7249999996</v>
      </c>
    </row>
    <row r="58" spans="1:10" s="49" customFormat="1" ht="31.5" hidden="1" x14ac:dyDescent="0.2">
      <c r="A58" s="17">
        <v>2</v>
      </c>
      <c r="B58" s="18" t="s">
        <v>158</v>
      </c>
      <c r="C58" s="18"/>
      <c r="D58" s="48"/>
      <c r="E58" s="39">
        <v>1286191</v>
      </c>
      <c r="F58" s="39">
        <f>+F59+F74+F75</f>
        <v>1825177</v>
      </c>
      <c r="G58" s="124">
        <f>+G59+G74+G75</f>
        <v>3021225</v>
      </c>
      <c r="H58" s="40">
        <f t="shared" si="0"/>
        <v>1.6553052114945563</v>
      </c>
      <c r="I58" s="40">
        <f t="shared" si="2"/>
        <v>2.3489707205228463</v>
      </c>
    </row>
    <row r="59" spans="1:10" s="53" customFormat="1" ht="15.75" hidden="1" x14ac:dyDescent="0.2">
      <c r="A59" s="29" t="s">
        <v>61</v>
      </c>
      <c r="B59" s="30" t="s">
        <v>67</v>
      </c>
      <c r="C59" s="30"/>
      <c r="D59" s="51"/>
      <c r="E59" s="51"/>
      <c r="F59" s="52">
        <f>SUM(F60:F73)</f>
        <v>972378</v>
      </c>
      <c r="G59" s="126">
        <f>SUM(G60:G73)</f>
        <v>1180846</v>
      </c>
      <c r="H59" s="40">
        <f t="shared" si="0"/>
        <v>1.214389877187678</v>
      </c>
      <c r="I59" s="40" t="e">
        <f t="shared" si="2"/>
        <v>#DIV/0!</v>
      </c>
    </row>
    <row r="60" spans="1:10" s="49" customFormat="1" ht="47.25" hidden="1" x14ac:dyDescent="0.2">
      <c r="A60" s="17"/>
      <c r="B60" s="58" t="s">
        <v>68</v>
      </c>
      <c r="C60" s="18"/>
      <c r="D60" s="48"/>
      <c r="E60" s="48"/>
      <c r="F60" s="59">
        <v>450378</v>
      </c>
      <c r="G60" s="124">
        <f>+'[2]Uoc 2018 chi tiet (2)'!G52</f>
        <v>450378</v>
      </c>
      <c r="H60" s="40">
        <f t="shared" si="0"/>
        <v>1</v>
      </c>
      <c r="I60" s="40" t="e">
        <f t="shared" si="2"/>
        <v>#DIV/0!</v>
      </c>
    </row>
    <row r="61" spans="1:10" s="49" customFormat="1" ht="31.5" hidden="1" x14ac:dyDescent="0.2">
      <c r="A61" s="17"/>
      <c r="B61" s="58" t="s">
        <v>69</v>
      </c>
      <c r="C61" s="18"/>
      <c r="D61" s="48"/>
      <c r="E61" s="48"/>
      <c r="F61" s="59">
        <v>38100</v>
      </c>
      <c r="G61" s="124">
        <f>+'[2]Uoc 2018 chi tiet (2)'!G53</f>
        <v>38100</v>
      </c>
      <c r="H61" s="40">
        <f t="shared" si="0"/>
        <v>1</v>
      </c>
      <c r="I61" s="40" t="e">
        <f t="shared" si="2"/>
        <v>#DIV/0!</v>
      </c>
    </row>
    <row r="62" spans="1:10" s="49" customFormat="1" ht="31.5" hidden="1" x14ac:dyDescent="0.2">
      <c r="A62" s="17"/>
      <c r="B62" s="60" t="s">
        <v>70</v>
      </c>
      <c r="C62" s="18"/>
      <c r="D62" s="48"/>
      <c r="E62" s="48"/>
      <c r="F62" s="59">
        <v>183500</v>
      </c>
      <c r="G62" s="124">
        <f>+'[2]Uoc 2018 chi tiet (2)'!G54</f>
        <v>209468</v>
      </c>
      <c r="H62" s="40">
        <f t="shared" si="0"/>
        <v>1.1415149863760219</v>
      </c>
      <c r="I62" s="40" t="e">
        <f t="shared" si="2"/>
        <v>#DIV/0!</v>
      </c>
    </row>
    <row r="63" spans="1:10" s="49" customFormat="1" ht="31.5" hidden="1" x14ac:dyDescent="0.2">
      <c r="A63" s="17"/>
      <c r="B63" s="61" t="s">
        <v>71</v>
      </c>
      <c r="C63" s="18"/>
      <c r="D63" s="48"/>
      <c r="E63" s="48"/>
      <c r="F63" s="59">
        <v>8900</v>
      </c>
      <c r="G63" s="124">
        <f>+'[2]Uoc 2018 chi tiet (2)'!G55</f>
        <v>8900</v>
      </c>
      <c r="H63" s="40">
        <f t="shared" si="0"/>
        <v>1</v>
      </c>
      <c r="I63" s="40" t="e">
        <f t="shared" si="2"/>
        <v>#DIV/0!</v>
      </c>
    </row>
    <row r="64" spans="1:10" s="49" customFormat="1" ht="47.25" hidden="1" x14ac:dyDescent="0.2">
      <c r="A64" s="17"/>
      <c r="B64" s="60" t="s">
        <v>72</v>
      </c>
      <c r="C64" s="18"/>
      <c r="D64" s="48"/>
      <c r="E64" s="48"/>
      <c r="F64" s="59">
        <v>36000</v>
      </c>
      <c r="G64" s="124">
        <f>+'[2]Uoc 2018 chi tiet (2)'!G56</f>
        <v>36000</v>
      </c>
      <c r="H64" s="40">
        <f t="shared" si="0"/>
        <v>1</v>
      </c>
      <c r="I64" s="40" t="e">
        <f t="shared" si="2"/>
        <v>#DIV/0!</v>
      </c>
    </row>
    <row r="65" spans="1:9" s="49" customFormat="1" ht="31.5" hidden="1" x14ac:dyDescent="0.2">
      <c r="A65" s="17"/>
      <c r="B65" s="62" t="s">
        <v>73</v>
      </c>
      <c r="C65" s="18"/>
      <c r="D65" s="48"/>
      <c r="E65" s="48"/>
      <c r="F65" s="59">
        <v>9400</v>
      </c>
      <c r="G65" s="124">
        <f>+'[2]Uoc 2018 chi tiet (2)'!G57</f>
        <v>9400</v>
      </c>
      <c r="H65" s="40">
        <f t="shared" si="0"/>
        <v>1</v>
      </c>
      <c r="I65" s="40" t="e">
        <f t="shared" si="2"/>
        <v>#DIV/0!</v>
      </c>
    </row>
    <row r="66" spans="1:9" s="49" customFormat="1" ht="47.25" hidden="1" x14ac:dyDescent="0.2">
      <c r="A66" s="17"/>
      <c r="B66" s="60" t="s">
        <v>74</v>
      </c>
      <c r="C66" s="18"/>
      <c r="D66" s="48"/>
      <c r="E66" s="48"/>
      <c r="F66" s="59">
        <v>95400</v>
      </c>
      <c r="G66" s="124">
        <f>+'[2]Uoc 2018 chi tiet (2)'!G58</f>
        <v>95400</v>
      </c>
      <c r="H66" s="40">
        <f t="shared" si="0"/>
        <v>1</v>
      </c>
      <c r="I66" s="40" t="e">
        <f t="shared" si="2"/>
        <v>#DIV/0!</v>
      </c>
    </row>
    <row r="67" spans="1:9" s="49" customFormat="1" ht="31.5" hidden="1" x14ac:dyDescent="0.2">
      <c r="A67" s="17"/>
      <c r="B67" s="61" t="s">
        <v>75</v>
      </c>
      <c r="C67" s="18"/>
      <c r="D67" s="48"/>
      <c r="E67" s="48"/>
      <c r="F67" s="59">
        <v>12500</v>
      </c>
      <c r="G67" s="124">
        <f>+'[2]Uoc 2018 chi tiet (2)'!G59</f>
        <v>12500</v>
      </c>
      <c r="H67" s="40">
        <f t="shared" si="0"/>
        <v>1</v>
      </c>
      <c r="I67" s="40" t="e">
        <f t="shared" si="2"/>
        <v>#DIV/0!</v>
      </c>
    </row>
    <row r="68" spans="1:9" s="49" customFormat="1" ht="15.75" hidden="1" x14ac:dyDescent="0.2">
      <c r="A68" s="17"/>
      <c r="B68" s="61" t="s">
        <v>76</v>
      </c>
      <c r="C68" s="18"/>
      <c r="D68" s="48"/>
      <c r="E68" s="48"/>
      <c r="F68" s="59">
        <v>42000</v>
      </c>
      <c r="G68" s="124">
        <f>+'[2]Uoc 2018 chi tiet (2)'!G60</f>
        <v>42000</v>
      </c>
      <c r="H68" s="40">
        <f t="shared" si="0"/>
        <v>1</v>
      </c>
      <c r="I68" s="40" t="e">
        <f t="shared" si="2"/>
        <v>#DIV/0!</v>
      </c>
    </row>
    <row r="69" spans="1:9" s="49" customFormat="1" ht="15.75" hidden="1" x14ac:dyDescent="0.2">
      <c r="A69" s="17"/>
      <c r="B69" s="61" t="s">
        <v>77</v>
      </c>
      <c r="C69" s="18"/>
      <c r="D69" s="48"/>
      <c r="E69" s="48"/>
      <c r="F69" s="59">
        <v>4400</v>
      </c>
      <c r="G69" s="124">
        <f>+'[2]Uoc 2018 chi tiet (2)'!G61</f>
        <v>4400</v>
      </c>
      <c r="H69" s="40">
        <f t="shared" si="0"/>
        <v>1</v>
      </c>
      <c r="I69" s="40" t="e">
        <f t="shared" si="2"/>
        <v>#DIV/0!</v>
      </c>
    </row>
    <row r="70" spans="1:9" s="49" customFormat="1" ht="31.5" hidden="1" x14ac:dyDescent="0.2">
      <c r="A70" s="17"/>
      <c r="B70" s="61" t="s">
        <v>78</v>
      </c>
      <c r="C70" s="18"/>
      <c r="D70" s="48"/>
      <c r="E70" s="48"/>
      <c r="F70" s="59">
        <v>11800</v>
      </c>
      <c r="G70" s="124">
        <f>+'[2]Uoc 2018 chi tiet (2)'!G62</f>
        <v>11800</v>
      </c>
      <c r="H70" s="40">
        <f t="shared" si="0"/>
        <v>1</v>
      </c>
      <c r="I70" s="40" t="e">
        <f t="shared" si="2"/>
        <v>#DIV/0!</v>
      </c>
    </row>
    <row r="71" spans="1:9" s="49" customFormat="1" ht="31.5" hidden="1" x14ac:dyDescent="0.2">
      <c r="A71" s="17"/>
      <c r="B71" s="62" t="s">
        <v>79</v>
      </c>
      <c r="C71" s="18"/>
      <c r="D71" s="48"/>
      <c r="E71" s="48"/>
      <c r="F71" s="59">
        <v>30000</v>
      </c>
      <c r="G71" s="124">
        <f>+'[2]Uoc 2018 chi tiet (2)'!G63</f>
        <v>30000</v>
      </c>
      <c r="H71" s="40">
        <f t="shared" si="0"/>
        <v>1</v>
      </c>
      <c r="I71" s="40" t="e">
        <f t="shared" si="2"/>
        <v>#DIV/0!</v>
      </c>
    </row>
    <row r="72" spans="1:9" s="49" customFormat="1" ht="15.75" hidden="1" x14ac:dyDescent="0.2">
      <c r="A72" s="17"/>
      <c r="B72" s="62" t="s">
        <v>80</v>
      </c>
      <c r="C72" s="18"/>
      <c r="D72" s="48"/>
      <c r="E72" s="48"/>
      <c r="F72" s="59"/>
      <c r="G72" s="124">
        <f>+'[2]Uoc 2018 chi tiet (2)'!G64+10000</f>
        <v>182500</v>
      </c>
      <c r="H72" s="40"/>
      <c r="I72" s="40" t="e">
        <f t="shared" si="2"/>
        <v>#DIV/0!</v>
      </c>
    </row>
    <row r="73" spans="1:9" s="49" customFormat="1" ht="63" hidden="1" x14ac:dyDescent="0.2">
      <c r="A73" s="17"/>
      <c r="B73" s="61" t="s">
        <v>81</v>
      </c>
      <c r="C73" s="18"/>
      <c r="D73" s="48"/>
      <c r="E73" s="48"/>
      <c r="F73" s="59">
        <v>50000</v>
      </c>
      <c r="G73" s="124">
        <f>+'[2]Uoc 2018 chi tiet (2)'!G65</f>
        <v>50000</v>
      </c>
      <c r="H73" s="40">
        <f t="shared" si="0"/>
        <v>1</v>
      </c>
      <c r="I73" s="40" t="e">
        <f t="shared" si="2"/>
        <v>#DIV/0!</v>
      </c>
    </row>
    <row r="74" spans="1:9" s="53" customFormat="1" ht="15.75" hidden="1" x14ac:dyDescent="0.25">
      <c r="A74" s="29" t="s">
        <v>64</v>
      </c>
      <c r="B74" s="136" t="s">
        <v>82</v>
      </c>
      <c r="C74" s="30"/>
      <c r="D74" s="51"/>
      <c r="E74" s="51"/>
      <c r="F74" s="137">
        <v>489799</v>
      </c>
      <c r="G74" s="126">
        <f>+'[2]Uoc 2018 chi tiet (2)'!G67</f>
        <v>489799</v>
      </c>
      <c r="H74" s="40">
        <f t="shared" si="0"/>
        <v>1</v>
      </c>
      <c r="I74" s="40" t="e">
        <f t="shared" si="2"/>
        <v>#DIV/0!</v>
      </c>
    </row>
    <row r="75" spans="1:9" s="53" customFormat="1" ht="15.75" hidden="1" x14ac:dyDescent="0.25">
      <c r="A75" s="29" t="s">
        <v>83</v>
      </c>
      <c r="B75" s="136" t="s">
        <v>84</v>
      </c>
      <c r="C75" s="30"/>
      <c r="D75" s="51"/>
      <c r="E75" s="51"/>
      <c r="F75" s="137">
        <v>363000</v>
      </c>
      <c r="G75" s="126">
        <f>+'[2]Uoc 2018 chi tiet (2)'!G68</f>
        <v>1350580</v>
      </c>
      <c r="H75" s="40">
        <f t="shared" si="0"/>
        <v>3.7206060606060607</v>
      </c>
      <c r="I75" s="40" t="e">
        <f t="shared" si="2"/>
        <v>#DIV/0!</v>
      </c>
    </row>
    <row r="76" spans="1:9" s="49" customFormat="1" ht="31.5" x14ac:dyDescent="0.2">
      <c r="A76" s="17">
        <v>3</v>
      </c>
      <c r="B76" s="18" t="s">
        <v>159</v>
      </c>
      <c r="C76" s="18"/>
      <c r="D76" s="48"/>
      <c r="E76" s="39">
        <v>555183</v>
      </c>
      <c r="F76" s="138">
        <f>+F99+F77</f>
        <v>166576</v>
      </c>
      <c r="G76" s="124">
        <f>+G99+G77</f>
        <v>368545.72499999998</v>
      </c>
      <c r="H76" s="40">
        <f t="shared" si="0"/>
        <v>2.2124779379982709</v>
      </c>
      <c r="I76" s="40">
        <f t="shared" si="2"/>
        <v>0.66382746769983947</v>
      </c>
    </row>
    <row r="77" spans="1:9" s="57" customFormat="1" ht="15.75" hidden="1" x14ac:dyDescent="0.2">
      <c r="A77" s="54" t="s">
        <v>61</v>
      </c>
      <c r="B77" s="50" t="s">
        <v>67</v>
      </c>
      <c r="C77" s="50"/>
      <c r="D77" s="55"/>
      <c r="E77" s="55"/>
      <c r="F77" s="56">
        <f>SUM(F78:F96)</f>
        <v>87086</v>
      </c>
      <c r="G77" s="131">
        <f>SUM(G78:G98)</f>
        <v>289055.72499999998</v>
      </c>
      <c r="H77" s="13">
        <f t="shared" si="0"/>
        <v>3.3191985508577724</v>
      </c>
      <c r="I77" s="40" t="e">
        <f t="shared" si="2"/>
        <v>#DIV/0!</v>
      </c>
    </row>
    <row r="78" spans="1:9" s="49" customFormat="1" ht="15.75" hidden="1" x14ac:dyDescent="0.2">
      <c r="A78" s="17"/>
      <c r="B78" s="18" t="s">
        <v>85</v>
      </c>
      <c r="C78" s="15"/>
      <c r="D78" s="48"/>
      <c r="E78" s="48"/>
      <c r="F78" s="39">
        <v>600</v>
      </c>
      <c r="G78" s="124">
        <f>+'[2]Uoc 2018 chi tiet (2)'!G71</f>
        <v>600</v>
      </c>
      <c r="H78" s="22">
        <f t="shared" si="0"/>
        <v>1</v>
      </c>
      <c r="I78" s="40" t="e">
        <f t="shared" si="2"/>
        <v>#DIV/0!</v>
      </c>
    </row>
    <row r="79" spans="1:9" s="49" customFormat="1" ht="15.75" hidden="1" x14ac:dyDescent="0.2">
      <c r="A79" s="17"/>
      <c r="B79" s="18" t="s">
        <v>86</v>
      </c>
      <c r="C79" s="15"/>
      <c r="D79" s="48"/>
      <c r="E79" s="48"/>
      <c r="F79" s="39">
        <v>485</v>
      </c>
      <c r="G79" s="124">
        <f>+'[2]Uoc 2018 chi tiet (2)'!G72</f>
        <v>485</v>
      </c>
      <c r="H79" s="22">
        <f t="shared" si="0"/>
        <v>1</v>
      </c>
      <c r="I79" s="40" t="e">
        <f t="shared" si="2"/>
        <v>#DIV/0!</v>
      </c>
    </row>
    <row r="80" spans="1:9" s="49" customFormat="1" ht="15.75" hidden="1" x14ac:dyDescent="0.2">
      <c r="A80" s="17"/>
      <c r="B80" s="18" t="s">
        <v>87</v>
      </c>
      <c r="C80" s="15"/>
      <c r="D80" s="48"/>
      <c r="E80" s="48"/>
      <c r="F80" s="39">
        <v>100</v>
      </c>
      <c r="G80" s="124">
        <f>+'[2]Uoc 2018 chi tiet (2)'!G73</f>
        <v>100</v>
      </c>
      <c r="H80" s="22">
        <f t="shared" si="0"/>
        <v>1</v>
      </c>
      <c r="I80" s="40" t="e">
        <f t="shared" si="2"/>
        <v>#DIV/0!</v>
      </c>
    </row>
    <row r="81" spans="1:9" s="49" customFormat="1" ht="15.75" hidden="1" x14ac:dyDescent="0.2">
      <c r="A81" s="17"/>
      <c r="B81" s="18" t="s">
        <v>88</v>
      </c>
      <c r="C81" s="15"/>
      <c r="D81" s="48"/>
      <c r="E81" s="48"/>
      <c r="F81" s="39">
        <v>980</v>
      </c>
      <c r="G81" s="124">
        <f>+'[2]Uoc 2018 chi tiet (2)'!G74</f>
        <v>980</v>
      </c>
      <c r="H81" s="22">
        <f t="shared" si="0"/>
        <v>1</v>
      </c>
      <c r="I81" s="40" t="e">
        <f t="shared" si="2"/>
        <v>#DIV/0!</v>
      </c>
    </row>
    <row r="82" spans="1:9" s="49" customFormat="1" ht="133.5" hidden="1" customHeight="1" x14ac:dyDescent="0.2">
      <c r="A82" s="17"/>
      <c r="B82" s="18" t="s">
        <v>89</v>
      </c>
      <c r="C82" s="15"/>
      <c r="D82" s="48"/>
      <c r="E82" s="48"/>
      <c r="F82" s="39">
        <v>20000</v>
      </c>
      <c r="G82" s="124">
        <f>+'[2]Uoc 2018 chi tiet (2)'!G75</f>
        <v>20000</v>
      </c>
      <c r="H82" s="22">
        <f t="shared" si="0"/>
        <v>1</v>
      </c>
      <c r="I82" s="40" t="e">
        <f t="shared" si="2"/>
        <v>#DIV/0!</v>
      </c>
    </row>
    <row r="83" spans="1:9" s="49" customFormat="1" ht="31.5" hidden="1" x14ac:dyDescent="0.2">
      <c r="A83" s="17"/>
      <c r="B83" s="18" t="s">
        <v>90</v>
      </c>
      <c r="C83" s="15"/>
      <c r="D83" s="48"/>
      <c r="E83" s="48"/>
      <c r="F83" s="39">
        <v>14933</v>
      </c>
      <c r="G83" s="124">
        <f>+'[2]Uoc 2018 chi tiet (2)'!G76</f>
        <v>14933</v>
      </c>
      <c r="H83" s="22">
        <f t="shared" si="0"/>
        <v>1</v>
      </c>
      <c r="I83" s="40" t="e">
        <f t="shared" si="2"/>
        <v>#DIV/0!</v>
      </c>
    </row>
    <row r="84" spans="1:9" s="49" customFormat="1" ht="31.5" hidden="1" x14ac:dyDescent="0.2">
      <c r="A84" s="17"/>
      <c r="B84" s="18" t="s">
        <v>91</v>
      </c>
      <c r="C84" s="15"/>
      <c r="D84" s="48"/>
      <c r="E84" s="48"/>
      <c r="F84" s="39">
        <v>5782</v>
      </c>
      <c r="G84" s="124">
        <f>+'[2]Uoc 2018 chi tiet (2)'!G77</f>
        <v>5782</v>
      </c>
      <c r="H84" s="22">
        <f t="shared" ref="H84:H90" si="4">+G84/F84</f>
        <v>1</v>
      </c>
      <c r="I84" s="40" t="e">
        <f t="shared" si="2"/>
        <v>#DIV/0!</v>
      </c>
    </row>
    <row r="85" spans="1:9" s="49" customFormat="1" ht="15.75" hidden="1" x14ac:dyDescent="0.2">
      <c r="A85" s="17"/>
      <c r="B85" s="18" t="s">
        <v>92</v>
      </c>
      <c r="C85" s="15"/>
      <c r="D85" s="48"/>
      <c r="E85" s="48"/>
      <c r="F85" s="39">
        <v>4535</v>
      </c>
      <c r="G85" s="124">
        <f>+'[2]Uoc 2018 chi tiet (2)'!G78</f>
        <v>4535</v>
      </c>
      <c r="H85" s="22">
        <f t="shared" si="4"/>
        <v>1</v>
      </c>
      <c r="I85" s="40" t="e">
        <f t="shared" si="2"/>
        <v>#DIV/0!</v>
      </c>
    </row>
    <row r="86" spans="1:9" s="49" customFormat="1" ht="15.75" hidden="1" x14ac:dyDescent="0.2">
      <c r="A86" s="17"/>
      <c r="B86" s="18" t="s">
        <v>93</v>
      </c>
      <c r="C86" s="15"/>
      <c r="D86" s="48"/>
      <c r="E86" s="48"/>
      <c r="F86" s="39">
        <v>8988</v>
      </c>
      <c r="G86" s="124">
        <f>+'[2]Uoc 2018 chi tiet (2)'!G79</f>
        <v>10089.725</v>
      </c>
      <c r="H86" s="22">
        <f t="shared" si="4"/>
        <v>1.1225773253226525</v>
      </c>
      <c r="I86" s="40" t="e">
        <f t="shared" si="2"/>
        <v>#DIV/0!</v>
      </c>
    </row>
    <row r="87" spans="1:9" s="49" customFormat="1" ht="31.5" hidden="1" x14ac:dyDescent="0.2">
      <c r="A87" s="17"/>
      <c r="B87" s="18" t="s">
        <v>94</v>
      </c>
      <c r="C87" s="15"/>
      <c r="D87" s="48"/>
      <c r="E87" s="48"/>
      <c r="F87" s="39">
        <v>2390</v>
      </c>
      <c r="G87" s="124">
        <f>+'[2]Uoc 2018 chi tiet (2)'!G80</f>
        <v>6440</v>
      </c>
      <c r="H87" s="22">
        <f t="shared" si="4"/>
        <v>2.6945606694560671</v>
      </c>
      <c r="I87" s="40" t="e">
        <f t="shared" si="2"/>
        <v>#DIV/0!</v>
      </c>
    </row>
    <row r="88" spans="1:9" s="49" customFormat="1" ht="15.75" hidden="1" x14ac:dyDescent="0.2">
      <c r="A88" s="17"/>
      <c r="B88" s="18" t="s">
        <v>95</v>
      </c>
      <c r="C88" s="15"/>
      <c r="D88" s="48"/>
      <c r="E88" s="48"/>
      <c r="F88" s="39">
        <v>25000</v>
      </c>
      <c r="G88" s="124">
        <f>+'[2]Uoc 2018 chi tiet (2)'!G81</f>
        <v>25000</v>
      </c>
      <c r="H88" s="22">
        <f t="shared" si="4"/>
        <v>1</v>
      </c>
      <c r="I88" s="40" t="e">
        <f t="shared" si="2"/>
        <v>#DIV/0!</v>
      </c>
    </row>
    <row r="89" spans="1:9" s="49" customFormat="1" ht="15.75" hidden="1" x14ac:dyDescent="0.2">
      <c r="A89" s="17"/>
      <c r="B89" s="18" t="s">
        <v>96</v>
      </c>
      <c r="C89" s="15"/>
      <c r="D89" s="48"/>
      <c r="E89" s="48"/>
      <c r="F89" s="39">
        <v>1293</v>
      </c>
      <c r="G89" s="124">
        <f>+'[2]Uoc 2018 chi tiet (2)'!G82</f>
        <v>4355</v>
      </c>
      <c r="H89" s="22">
        <f t="shared" si="4"/>
        <v>3.3681361175560713</v>
      </c>
      <c r="I89" s="40" t="e">
        <f t="shared" si="2"/>
        <v>#DIV/0!</v>
      </c>
    </row>
    <row r="90" spans="1:9" s="49" customFormat="1" ht="47.25" hidden="1" x14ac:dyDescent="0.2">
      <c r="A90" s="17"/>
      <c r="B90" s="63" t="s">
        <v>97</v>
      </c>
      <c r="C90" s="15"/>
      <c r="D90" s="48"/>
      <c r="E90" s="48"/>
      <c r="F90" s="39">
        <v>2000</v>
      </c>
      <c r="G90" s="124">
        <f>+'[2]Uoc 2018 chi tiet (2)'!G83</f>
        <v>2000</v>
      </c>
      <c r="H90" s="22">
        <f t="shared" si="4"/>
        <v>1</v>
      </c>
      <c r="I90" s="40" t="e">
        <f t="shared" si="2"/>
        <v>#DIV/0!</v>
      </c>
    </row>
    <row r="91" spans="1:9" s="49" customFormat="1" ht="52.5" hidden="1" customHeight="1" x14ac:dyDescent="0.2">
      <c r="A91" s="17"/>
      <c r="B91" s="64" t="s">
        <v>98</v>
      </c>
      <c r="C91" s="15"/>
      <c r="D91" s="48"/>
      <c r="E91" s="48"/>
      <c r="F91" s="39"/>
      <c r="G91" s="124">
        <f>+'[2]Uoc 2018 chi tiet (2)'!G84+'[2]Uoc 2018 chi tiet (2)'!G85</f>
        <v>4769</v>
      </c>
      <c r="H91" s="22"/>
      <c r="I91" s="40" t="e">
        <f t="shared" ref="I91:I100" si="5">+G91/E91</f>
        <v>#DIV/0!</v>
      </c>
    </row>
    <row r="92" spans="1:9" s="49" customFormat="1" ht="54" hidden="1" customHeight="1" x14ac:dyDescent="0.2">
      <c r="A92" s="17"/>
      <c r="B92" s="64" t="s">
        <v>99</v>
      </c>
      <c r="C92" s="15"/>
      <c r="D92" s="48"/>
      <c r="E92" s="48"/>
      <c r="F92" s="39"/>
      <c r="G92" s="124">
        <f>+'[2]Uoc 2018 chi tiet (2)'!G86+'[2]Uoc 2018 chi tiet (2)'!G87</f>
        <v>25408</v>
      </c>
      <c r="H92" s="22"/>
      <c r="I92" s="40" t="e">
        <f t="shared" si="5"/>
        <v>#DIV/0!</v>
      </c>
    </row>
    <row r="93" spans="1:9" s="49" customFormat="1" ht="31.5" hidden="1" x14ac:dyDescent="0.2">
      <c r="A93" s="17"/>
      <c r="B93" s="65" t="s">
        <v>78</v>
      </c>
      <c r="C93" s="15"/>
      <c r="D93" s="48"/>
      <c r="E93" s="48"/>
      <c r="F93" s="39"/>
      <c r="G93" s="124">
        <f>+'[2]Uoc 2018 chi tiet (2)'!G88</f>
        <v>34900</v>
      </c>
      <c r="H93" s="22"/>
      <c r="I93" s="40" t="e">
        <f t="shared" si="5"/>
        <v>#DIV/0!</v>
      </c>
    </row>
    <row r="94" spans="1:9" s="49" customFormat="1" ht="78.75" hidden="1" x14ac:dyDescent="0.2">
      <c r="A94" s="17"/>
      <c r="B94" s="66" t="s">
        <v>100</v>
      </c>
      <c r="C94" s="15"/>
      <c r="D94" s="48"/>
      <c r="E94" s="48"/>
      <c r="F94" s="39"/>
      <c r="G94" s="124">
        <f>+'[2]Uoc 2018 chi tiet (2)'!G89</f>
        <v>5131</v>
      </c>
      <c r="H94" s="22"/>
      <c r="I94" s="40" t="e">
        <f t="shared" si="5"/>
        <v>#DIV/0!</v>
      </c>
    </row>
    <row r="95" spans="1:9" s="49" customFormat="1" ht="47.25" hidden="1" x14ac:dyDescent="0.2">
      <c r="A95" s="17"/>
      <c r="B95" s="67" t="s">
        <v>101</v>
      </c>
      <c r="C95" s="15"/>
      <c r="D95" s="48"/>
      <c r="E95" s="48"/>
      <c r="F95" s="39"/>
      <c r="G95" s="124">
        <f>+'[2]Uoc 2018 chi tiet (2)'!G90</f>
        <v>1200</v>
      </c>
      <c r="H95" s="22"/>
      <c r="I95" s="40" t="e">
        <f t="shared" si="5"/>
        <v>#DIV/0!</v>
      </c>
    </row>
    <row r="96" spans="1:9" s="49" customFormat="1" ht="31.5" hidden="1" x14ac:dyDescent="0.2">
      <c r="A96" s="17"/>
      <c r="B96" s="64" t="s">
        <v>102</v>
      </c>
      <c r="C96" s="15"/>
      <c r="D96" s="48"/>
      <c r="E96" s="48"/>
      <c r="F96" s="39"/>
      <c r="G96" s="124">
        <f>+'[2]Uoc 2018 chi tiet (2)'!G93</f>
        <v>8830</v>
      </c>
      <c r="H96" s="22"/>
      <c r="I96" s="40" t="e">
        <f t="shared" si="5"/>
        <v>#DIV/0!</v>
      </c>
    </row>
    <row r="97" spans="1:14" s="49" customFormat="1" ht="31.5" hidden="1" x14ac:dyDescent="0.2">
      <c r="A97" s="17"/>
      <c r="B97" s="64" t="s">
        <v>103</v>
      </c>
      <c r="C97" s="15"/>
      <c r="D97" s="48"/>
      <c r="E97" s="48"/>
      <c r="F97" s="39"/>
      <c r="G97" s="124">
        <f>+'[2]Uoc 2018 chi tiet (2)'!G91</f>
        <v>700</v>
      </c>
      <c r="H97" s="22"/>
      <c r="I97" s="40" t="e">
        <f t="shared" si="5"/>
        <v>#DIV/0!</v>
      </c>
    </row>
    <row r="98" spans="1:14" s="49" customFormat="1" ht="31.5" hidden="1" x14ac:dyDescent="0.2">
      <c r="A98" s="17"/>
      <c r="B98" s="68" t="s">
        <v>104</v>
      </c>
      <c r="C98" s="15"/>
      <c r="D98" s="48"/>
      <c r="E98" s="48"/>
      <c r="F98" s="39"/>
      <c r="G98" s="124">
        <f>+'[2]Uoc 2018 chi tiet (2)'!G92</f>
        <v>112818</v>
      </c>
      <c r="H98" s="22"/>
      <c r="I98" s="40" t="e">
        <f t="shared" si="5"/>
        <v>#DIV/0!</v>
      </c>
    </row>
    <row r="99" spans="1:14" s="57" customFormat="1" ht="15.75" hidden="1" x14ac:dyDescent="0.2">
      <c r="A99" s="54" t="s">
        <v>64</v>
      </c>
      <c r="B99" s="50" t="s">
        <v>105</v>
      </c>
      <c r="C99" s="50"/>
      <c r="D99" s="55"/>
      <c r="E99" s="55"/>
      <c r="F99" s="56">
        <v>79490</v>
      </c>
      <c r="G99" s="131">
        <f>+'[2]Uoc 2018 chi tiet (2)'!G70</f>
        <v>79490</v>
      </c>
      <c r="H99" s="13">
        <f>+G99/F99</f>
        <v>1</v>
      </c>
      <c r="I99" s="40" t="e">
        <f t="shared" si="5"/>
        <v>#DIV/0!</v>
      </c>
    </row>
    <row r="100" spans="1:14" s="46" customFormat="1" ht="18.75" customHeight="1" x14ac:dyDescent="0.2">
      <c r="A100" s="69" t="s">
        <v>106</v>
      </c>
      <c r="B100" s="70" t="s">
        <v>107</v>
      </c>
      <c r="C100" s="70"/>
      <c r="D100" s="71"/>
      <c r="E100" s="72">
        <v>9356675</v>
      </c>
      <c r="F100" s="72"/>
      <c r="G100" s="132">
        <f>+'[2]Uoc 2018 chi tiet (2)'!G94</f>
        <v>3126000</v>
      </c>
      <c r="H100" s="69"/>
      <c r="I100" s="189">
        <f t="shared" si="5"/>
        <v>0.33409304052988908</v>
      </c>
    </row>
    <row r="101" spans="1:14" s="46" customFormat="1" ht="18.75" customHeight="1" x14ac:dyDescent="0.2">
      <c r="A101" s="73"/>
      <c r="B101" s="74"/>
      <c r="C101" s="74"/>
      <c r="D101" s="75"/>
      <c r="E101" s="75"/>
      <c r="F101" s="76"/>
      <c r="G101" s="77"/>
      <c r="H101" s="73"/>
      <c r="I101" s="47"/>
    </row>
    <row r="102" spans="1:14" s="46" customFormat="1" ht="18.75" customHeight="1" x14ac:dyDescent="0.2">
      <c r="A102" s="73"/>
      <c r="B102" s="74"/>
      <c r="C102" s="74"/>
      <c r="D102" s="75"/>
      <c r="E102" s="75"/>
      <c r="F102" s="76"/>
      <c r="G102" s="77"/>
      <c r="H102" s="73"/>
      <c r="I102" s="47"/>
    </row>
    <row r="103" spans="1:14" s="49" customFormat="1" ht="15.75" x14ac:dyDescent="0.2">
      <c r="A103" s="262"/>
      <c r="B103" s="262"/>
      <c r="C103" s="262"/>
      <c r="D103" s="262"/>
      <c r="E103" s="262"/>
      <c r="F103" s="262"/>
      <c r="G103" s="262"/>
      <c r="H103" s="262"/>
    </row>
    <row r="104" spans="1:14" s="49" customFormat="1" ht="15.75" x14ac:dyDescent="0.2">
      <c r="H104" s="78"/>
    </row>
    <row r="105" spans="1:14" s="49" customFormat="1" ht="31.5" x14ac:dyDescent="0.2">
      <c r="A105" s="79"/>
      <c r="B105" s="80" t="s">
        <v>24</v>
      </c>
      <c r="C105" s="80"/>
      <c r="D105" s="81"/>
      <c r="E105" s="81"/>
      <c r="F105" s="82"/>
      <c r="G105" s="79" t="s">
        <v>108</v>
      </c>
      <c r="H105" s="7"/>
      <c r="I105" s="83" t="s">
        <v>109</v>
      </c>
      <c r="J105" s="83"/>
      <c r="K105" s="83" t="s">
        <v>110</v>
      </c>
      <c r="L105" s="83" t="s">
        <v>111</v>
      </c>
      <c r="M105" s="83" t="s">
        <v>112</v>
      </c>
      <c r="N105" s="83" t="s">
        <v>113</v>
      </c>
    </row>
    <row r="106" spans="1:14" s="49" customFormat="1" ht="24" customHeight="1" x14ac:dyDescent="0.2">
      <c r="A106" s="79"/>
      <c r="B106" s="84" t="s">
        <v>114</v>
      </c>
      <c r="C106" s="80"/>
      <c r="D106" s="81"/>
      <c r="E106" s="81"/>
      <c r="F106" s="85">
        <v>31492</v>
      </c>
      <c r="G106" s="7">
        <v>31492</v>
      </c>
      <c r="H106" s="7"/>
      <c r="I106" s="86"/>
      <c r="J106" s="86"/>
      <c r="K106" s="86"/>
      <c r="L106" s="86"/>
      <c r="M106" s="86"/>
      <c r="N106" s="86"/>
    </row>
    <row r="107" spans="1:14" s="49" customFormat="1" ht="24" customHeight="1" x14ac:dyDescent="0.2">
      <c r="A107" s="79"/>
      <c r="B107" s="84" t="s">
        <v>115</v>
      </c>
      <c r="C107" s="80"/>
      <c r="D107" s="81"/>
      <c r="E107" s="81"/>
      <c r="F107" s="85">
        <v>1890</v>
      </c>
      <c r="G107" s="87">
        <f>+F107</f>
        <v>1890</v>
      </c>
      <c r="H107" s="7"/>
      <c r="I107" s="83"/>
      <c r="J107" s="83"/>
      <c r="K107" s="83"/>
      <c r="L107" s="83"/>
      <c r="M107" s="83"/>
      <c r="N107" s="83"/>
    </row>
    <row r="108" spans="1:14" s="49" customFormat="1" ht="24" customHeight="1" x14ac:dyDescent="0.2">
      <c r="A108" s="79"/>
      <c r="B108" s="84" t="s">
        <v>116</v>
      </c>
      <c r="C108" s="80"/>
      <c r="D108" s="81"/>
      <c r="E108" s="81"/>
      <c r="F108" s="85">
        <v>4451</v>
      </c>
      <c r="G108" s="87">
        <f>+F108</f>
        <v>4451</v>
      </c>
      <c r="H108" s="7"/>
      <c r="I108" s="83"/>
      <c r="J108" s="83"/>
      <c r="K108" s="83"/>
      <c r="L108" s="83"/>
      <c r="M108" s="83"/>
      <c r="N108" s="83"/>
    </row>
    <row r="109" spans="1:14" s="49" customFormat="1" ht="15.75" customHeight="1" x14ac:dyDescent="0.2">
      <c r="A109" s="83"/>
      <c r="B109" s="87" t="s">
        <v>117</v>
      </c>
      <c r="C109" s="88"/>
      <c r="D109" s="88"/>
      <c r="E109" s="88"/>
      <c r="F109" s="87">
        <v>1616</v>
      </c>
      <c r="G109" s="87">
        <f>+F109</f>
        <v>1616</v>
      </c>
      <c r="H109" s="88"/>
      <c r="I109" s="83"/>
      <c r="J109" s="83"/>
      <c r="K109" s="83"/>
      <c r="L109" s="83"/>
      <c r="M109" s="83"/>
      <c r="N109" s="83"/>
    </row>
    <row r="110" spans="1:14" ht="16.5" customHeight="1" x14ac:dyDescent="0.25">
      <c r="A110" s="263"/>
      <c r="B110" s="263"/>
      <c r="C110" s="89"/>
      <c r="D110" s="90"/>
      <c r="E110" s="90"/>
      <c r="F110" s="90">
        <f>SUM(F106:F109)</f>
        <v>39449</v>
      </c>
      <c r="G110" s="90">
        <f>SUM(G106:G109)</f>
        <v>39449</v>
      </c>
      <c r="H110" s="90"/>
      <c r="I110" s="91"/>
      <c r="J110" s="91"/>
      <c r="K110" s="91"/>
      <c r="L110" s="91"/>
      <c r="M110" s="91"/>
      <c r="N110" s="91"/>
    </row>
    <row r="111" spans="1:14" ht="14.25" customHeight="1" x14ac:dyDescent="0.25">
      <c r="A111" s="264"/>
      <c r="B111" s="264"/>
      <c r="C111" s="92"/>
      <c r="D111" s="93"/>
      <c r="E111" s="93"/>
      <c r="F111" s="93"/>
      <c r="G111" s="93"/>
      <c r="H111" s="93"/>
      <c r="K111" s="3">
        <f>2096000-K112</f>
        <v>-809957</v>
      </c>
    </row>
    <row r="112" spans="1:14" ht="14.25" customHeight="1" x14ac:dyDescent="0.25">
      <c r="H112" s="93"/>
      <c r="I112" s="94" t="s">
        <v>118</v>
      </c>
      <c r="J112" s="95"/>
      <c r="K112" s="96">
        <f>+K113+K118</f>
        <v>2905957</v>
      </c>
      <c r="L112" s="93"/>
      <c r="M112" s="93"/>
    </row>
    <row r="113" spans="1:13" ht="14.25" customHeight="1" x14ac:dyDescent="0.25">
      <c r="H113" s="93"/>
      <c r="I113" s="92"/>
      <c r="J113" s="97"/>
      <c r="K113" s="98">
        <f>SUM(K114:K117)</f>
        <v>1499628</v>
      </c>
      <c r="L113" s="93"/>
      <c r="M113" s="93"/>
    </row>
    <row r="114" spans="1:13" ht="15.75" x14ac:dyDescent="0.25">
      <c r="I114" s="100"/>
      <c r="J114" s="101"/>
      <c r="K114" s="102">
        <f>106804-K115</f>
        <v>25968</v>
      </c>
      <c r="L114" s="100" t="s">
        <v>119</v>
      </c>
      <c r="M114" s="99"/>
    </row>
    <row r="115" spans="1:13" ht="15.75" x14ac:dyDescent="0.25">
      <c r="I115" s="100"/>
      <c r="J115" s="101"/>
      <c r="K115" s="102">
        <v>80836</v>
      </c>
      <c r="L115" s="100" t="s">
        <v>119</v>
      </c>
      <c r="M115" s="99"/>
    </row>
    <row r="116" spans="1:13" ht="15.75" x14ac:dyDescent="0.25">
      <c r="I116" s="100"/>
      <c r="J116" s="101"/>
      <c r="K116" s="102">
        <v>805450</v>
      </c>
      <c r="L116" s="100" t="s">
        <v>120</v>
      </c>
      <c r="M116" s="99"/>
    </row>
    <row r="117" spans="1:13" ht="15.75" x14ac:dyDescent="0.25">
      <c r="I117" s="100"/>
      <c r="J117" s="101"/>
      <c r="K117" s="102">
        <f>576374+11000</f>
        <v>587374</v>
      </c>
      <c r="L117" s="100" t="s">
        <v>120</v>
      </c>
      <c r="M117" s="99"/>
    </row>
    <row r="118" spans="1:13" ht="15.75" x14ac:dyDescent="0.25">
      <c r="I118" s="100"/>
      <c r="J118" s="103"/>
      <c r="K118" s="104">
        <f>SUM(K119:K122)</f>
        <v>1406329</v>
      </c>
      <c r="L118" s="99"/>
      <c r="M118" s="99"/>
    </row>
    <row r="119" spans="1:13" ht="15.75" x14ac:dyDescent="0.25">
      <c r="I119" s="106"/>
      <c r="J119" s="107"/>
      <c r="K119" s="102">
        <v>120935</v>
      </c>
      <c r="L119" s="100" t="s">
        <v>121</v>
      </c>
      <c r="M119" s="105"/>
    </row>
    <row r="120" spans="1:13" ht="15.75" x14ac:dyDescent="0.25">
      <c r="I120" s="106"/>
      <c r="J120" s="107"/>
      <c r="K120" s="102">
        <f>19445+32337-K114</f>
        <v>25814</v>
      </c>
      <c r="L120" s="3" t="s">
        <v>122</v>
      </c>
      <c r="M120" s="3"/>
    </row>
    <row r="121" spans="1:13" ht="15.75" x14ac:dyDescent="0.25">
      <c r="I121" s="100"/>
      <c r="J121" s="107"/>
      <c r="K121" s="102">
        <f>988030-K116</f>
        <v>182580</v>
      </c>
      <c r="L121" s="3" t="s">
        <v>122</v>
      </c>
      <c r="M121" s="3"/>
    </row>
    <row r="122" spans="1:13" s="108" customFormat="1" ht="15.75" x14ac:dyDescent="0.25">
      <c r="H122" s="110"/>
      <c r="I122" s="111"/>
      <c r="J122" s="107"/>
      <c r="K122" s="112">
        <f>1077000</f>
        <v>1077000</v>
      </c>
      <c r="L122" s="109"/>
      <c r="M122" s="109"/>
    </row>
    <row r="123" spans="1:13" s="116" customFormat="1" ht="17.100000000000001" customHeight="1" x14ac:dyDescent="0.25">
      <c r="A123" s="113"/>
      <c r="B123" s="114"/>
      <c r="C123" s="114"/>
      <c r="D123" s="113"/>
      <c r="E123" s="113"/>
      <c r="F123" s="113"/>
      <c r="G123" s="113"/>
      <c r="H123" s="115"/>
    </row>
    <row r="124" spans="1:13" s="116" customFormat="1" ht="17.100000000000001" customHeight="1" x14ac:dyDescent="0.25">
      <c r="A124" s="113"/>
      <c r="B124" s="117"/>
      <c r="C124" s="117"/>
      <c r="D124" s="113"/>
      <c r="E124" s="113"/>
      <c r="F124" s="113"/>
      <c r="G124" s="113"/>
      <c r="H124" s="115"/>
    </row>
    <row r="125" spans="1:13" ht="17.100000000000001" customHeight="1" x14ac:dyDescent="0.25">
      <c r="B125" s="118"/>
      <c r="C125" s="118"/>
    </row>
    <row r="126" spans="1:13" s="3" customFormat="1" ht="17.100000000000001" customHeight="1" x14ac:dyDescent="0.25">
      <c r="B126" s="118"/>
      <c r="C126" s="118"/>
      <c r="H126" s="99"/>
      <c r="I126" s="2"/>
      <c r="J126" s="2"/>
      <c r="K126" s="2"/>
      <c r="L126" s="2"/>
      <c r="M126" s="2"/>
    </row>
  </sheetData>
  <mergeCells count="13">
    <mergeCell ref="G1:I1"/>
    <mergeCell ref="A2:I2"/>
    <mergeCell ref="A3:I3"/>
    <mergeCell ref="H4:I4"/>
    <mergeCell ref="A5:A6"/>
    <mergeCell ref="B5:B6"/>
    <mergeCell ref="G5:G6"/>
    <mergeCell ref="H5:I5"/>
    <mergeCell ref="A103:H103"/>
    <mergeCell ref="A110:B110"/>
    <mergeCell ref="A111:B111"/>
    <mergeCell ref="F5:F6"/>
    <mergeCell ref="E5:E6"/>
  </mergeCells>
  <printOptions horizontalCentered="1"/>
  <pageMargins left="0.78" right="0.25" top="0.83" bottom="0.82" header="0.511811023622047" footer="0"/>
  <pageSetup paperSize="9" scale="90" orientation="portrait" r:id="rId1"/>
  <headerFooter alignWithMargins="0">
    <oddFooter>&amp;R&amp;P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60</vt:lpstr>
      <vt:lpstr>59</vt:lpstr>
      <vt:lpstr>61</vt:lpstr>
      <vt:lpstr>'60'!Print_Titles</vt:lpstr>
      <vt:lpstr>'61'!Print_Titles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NguyenThiNga</dc:creator>
  <cp:lastModifiedBy>nguyenminhquan</cp:lastModifiedBy>
  <cp:lastPrinted>2019-01-03T01:38:03Z</cp:lastPrinted>
  <dcterms:created xsi:type="dcterms:W3CDTF">2019-01-03T00:35:31Z</dcterms:created>
  <dcterms:modified xsi:type="dcterms:W3CDTF">2020-06-12T01:12:58Z</dcterms:modified>
</cp:coreProperties>
</file>